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ohiodas.sharepoint.com/sites/Accountability/Shared Documents/Accountability Data Team/Report Card Resources/Website Documents/"/>
    </mc:Choice>
  </mc:AlternateContent>
  <xr:revisionPtr revIDLastSave="24" documentId="8_{4846B1DE-8554-415C-B389-4BB1DF8FD9BE}" xr6:coauthVersionLast="47" xr6:coauthVersionMax="47" xr10:uidLastSave="{5ECAF1F5-AE80-4CB3-A8A0-A44C23390B5C}"/>
  <bookViews>
    <workbookView xWindow="-28920" yWindow="-7515" windowWidth="29040" windowHeight="15720" activeTab="3" xr2:uid="{47C0A51B-5713-43ED-AE00-1479EB7A78EB}"/>
  </bookViews>
  <sheets>
    <sheet name="Notes" sheetId="7" r:id="rId1"/>
    <sheet name="Achievement" sheetId="1" r:id="rId2"/>
    <sheet name="Progress" sheetId="2" r:id="rId3"/>
    <sheet name="Gap Closing" sheetId="3" r:id="rId4"/>
    <sheet name="Gifted Id and Srvcs - Building" sheetId="5" r:id="rId5"/>
    <sheet name="Gifted Id and Srvcs - District" sheetId="4" r:id="rId6"/>
    <sheet name="Early Literacy" sheetId="6" r:id="rId7"/>
    <sheet name="Graduation" sheetId="8" r:id="rId8"/>
    <sheet name="Overall " sheetId="12" r:id="rId9"/>
  </sheets>
  <definedNames>
    <definedName name="_xlnm._FilterDatabase" localSheetId="0" hidden="1">Notes!$A$1:$M$1</definedName>
    <definedName name="Imporv3rd_weight">'Early Literacy'!$J$14</definedName>
    <definedName name="Improvk3">'Early Literacy'!$A$19</definedName>
    <definedName name="K10_Yes_No">'Early Literacy'!$C$19</definedName>
    <definedName name="K3_Yes_No">'Early Literacy'!$C$13</definedName>
    <definedName name="Prof3rd">'Early Literacy'!$A$15</definedName>
    <definedName name="Prof3rd_weight">'Early Literacy'!$J$13</definedName>
    <definedName name="Promo4th">'Early Literacy'!$A$11</definedName>
    <definedName name="Promo4th_weight">'Early Literacy'!$J$12</definedName>
    <definedName name="Total_Weighted_Points">'Early Literacy'!$K$17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 l="1"/>
  <c r="D74" i="3"/>
  <c r="D73" i="3"/>
  <c r="D72" i="3"/>
  <c r="D71" i="3"/>
  <c r="D70" i="3"/>
  <c r="D69" i="3"/>
  <c r="D68" i="3"/>
  <c r="D67" i="3"/>
  <c r="D66" i="3"/>
  <c r="D65" i="3"/>
  <c r="L39" i="4"/>
  <c r="M26" i="5"/>
  <c r="M35" i="5"/>
  <c r="B41" i="4"/>
  <c r="D41" i="4"/>
  <c r="M30" i="4"/>
  <c r="M39" i="4"/>
  <c r="C14" i="8"/>
  <c r="Q51" i="12"/>
  <c r="Q49" i="12"/>
  <c r="Q50" i="12"/>
  <c r="Q52" i="12"/>
  <c r="Q53" i="12"/>
  <c r="W49" i="12" l="1"/>
  <c r="Y49" i="12" s="1"/>
  <c r="W53" i="12"/>
  <c r="Y53" i="12" s="1"/>
  <c r="W52" i="12"/>
  <c r="Y52" i="12" s="1"/>
  <c r="W51" i="12"/>
  <c r="Y51" i="12" s="1"/>
  <c r="W50" i="12"/>
  <c r="Y50" i="12" s="1"/>
  <c r="B16" i="1"/>
  <c r="J14" i="6" a="1"/>
  <c r="J14" i="6" s="1"/>
  <c r="J13" i="6" a="1"/>
  <c r="J13" i="6" s="1"/>
  <c r="J12" i="6" a="1"/>
  <c r="J12" i="6" s="1"/>
  <c r="D19" i="3"/>
  <c r="D9" i="3"/>
  <c r="E8" i="3"/>
  <c r="C11" i="8"/>
  <c r="F11" i="8"/>
  <c r="F14" i="8"/>
  <c r="G11" i="8" l="1"/>
  <c r="G14" i="8"/>
  <c r="D52" i="3"/>
  <c r="D51" i="3"/>
  <c r="D50" i="3"/>
  <c r="D49" i="3"/>
  <c r="D48" i="3"/>
  <c r="D47" i="3"/>
  <c r="D46" i="3"/>
  <c r="D45" i="3"/>
  <c r="D44" i="3"/>
  <c r="D43" i="3"/>
  <c r="D30" i="3"/>
  <c r="D29" i="3"/>
  <c r="D28" i="3"/>
  <c r="D27" i="3"/>
  <c r="D26" i="3"/>
  <c r="D25" i="3"/>
  <c r="D24" i="3"/>
  <c r="D23" i="3"/>
  <c r="D22" i="3"/>
  <c r="D21" i="3"/>
  <c r="D17" i="3"/>
  <c r="E17" i="3" s="1"/>
  <c r="D15" i="3"/>
  <c r="D11" i="3"/>
  <c r="F7" i="3"/>
  <c r="L31" i="3" s="1"/>
  <c r="D7" i="3"/>
  <c r="E7" i="3" s="1"/>
  <c r="D64" i="3"/>
  <c r="D53" i="3"/>
  <c r="D42" i="3"/>
  <c r="D31" i="3"/>
  <c r="D20" i="3"/>
  <c r="D16" i="3"/>
  <c r="D10" i="3"/>
  <c r="D6" i="3"/>
  <c r="G7" i="2"/>
  <c r="I13" i="2"/>
  <c r="K12" i="2"/>
  <c r="I10" i="2"/>
  <c r="K9" i="2"/>
  <c r="K14" i="6" a="1"/>
  <c r="K14" i="6" s="1"/>
  <c r="K13" i="6" a="1"/>
  <c r="K13" i="6" s="1"/>
  <c r="K12" i="6" a="1"/>
  <c r="K12" i="6" s="1"/>
  <c r="K31" i="3" l="1"/>
  <c r="I12" i="8"/>
  <c r="J16" i="2"/>
  <c r="K17" i="6"/>
  <c r="O35" i="5"/>
  <c r="O34" i="5"/>
  <c r="O26" i="5"/>
  <c r="O25" i="5"/>
  <c r="O17" i="5"/>
  <c r="O9" i="5"/>
  <c r="E38" i="5"/>
  <c r="A38" i="5"/>
  <c r="M34" i="5" s="1"/>
  <c r="E29" i="5"/>
  <c r="A29" i="5"/>
  <c r="M25" i="5" s="1"/>
  <c r="D23" i="4"/>
  <c r="M29" i="4"/>
  <c r="M21" i="4"/>
  <c r="F16" i="4"/>
  <c r="M15" i="4" s="1"/>
  <c r="H16" i="4"/>
  <c r="M16" i="4" s="1"/>
  <c r="M12" i="4"/>
  <c r="M11" i="4"/>
  <c r="M10" i="4"/>
  <c r="M9" i="4"/>
  <c r="Q12" i="8" l="1"/>
  <c r="S14" i="6"/>
  <c r="U21" i="5"/>
  <c r="M22" i="4"/>
  <c r="A20" i="5"/>
  <c r="M17" i="5" s="1"/>
  <c r="G18" i="5"/>
  <c r="A12" i="5"/>
  <c r="M9" i="5" s="1"/>
  <c r="C12" i="4"/>
  <c r="L10" i="4" s="1"/>
  <c r="A12" i="4"/>
  <c r="L9" i="4" s="1"/>
  <c r="E12" i="4"/>
  <c r="L11" i="4" s="1"/>
  <c r="G10" i="5"/>
  <c r="O10" i="5" s="1"/>
  <c r="C34" i="4"/>
  <c r="L30" i="4" s="1"/>
  <c r="A25" i="4"/>
  <c r="L21" i="4" s="1"/>
  <c r="G18" i="4"/>
  <c r="L16" i="4" s="1"/>
  <c r="D16" i="4"/>
  <c r="B16" i="4"/>
  <c r="G12" i="4"/>
  <c r="L12" i="4" s="1"/>
  <c r="F66" i="3"/>
  <c r="F67" i="3"/>
  <c r="F68" i="3"/>
  <c r="F69" i="3"/>
  <c r="F70" i="3"/>
  <c r="F71" i="3"/>
  <c r="F72" i="3"/>
  <c r="F73" i="3"/>
  <c r="F74" i="3"/>
  <c r="F65" i="3"/>
  <c r="F55" i="3"/>
  <c r="F56" i="3"/>
  <c r="F57" i="3"/>
  <c r="F58" i="3"/>
  <c r="F59" i="3"/>
  <c r="F60" i="3"/>
  <c r="F61" i="3"/>
  <c r="F62" i="3"/>
  <c r="F63" i="3"/>
  <c r="F54" i="3"/>
  <c r="F44" i="3"/>
  <c r="F45" i="3"/>
  <c r="F46" i="3"/>
  <c r="F47" i="3"/>
  <c r="F48" i="3"/>
  <c r="F49" i="3"/>
  <c r="F50" i="3"/>
  <c r="F51" i="3"/>
  <c r="F52" i="3"/>
  <c r="F43" i="3"/>
  <c r="F33" i="3"/>
  <c r="F34" i="3"/>
  <c r="F35" i="3"/>
  <c r="F36" i="3"/>
  <c r="F37" i="3"/>
  <c r="F38" i="3"/>
  <c r="F39" i="3"/>
  <c r="F40" i="3"/>
  <c r="F41" i="3"/>
  <c r="F32" i="3"/>
  <c r="F22" i="3"/>
  <c r="F23" i="3"/>
  <c r="F24" i="3"/>
  <c r="F25" i="3"/>
  <c r="F26" i="3"/>
  <c r="F27" i="3"/>
  <c r="F28" i="3"/>
  <c r="F29" i="3"/>
  <c r="F30" i="3"/>
  <c r="F21" i="3"/>
  <c r="E66" i="3"/>
  <c r="E67" i="3"/>
  <c r="E68" i="3"/>
  <c r="E69" i="3"/>
  <c r="E70" i="3"/>
  <c r="E71" i="3"/>
  <c r="E72" i="3"/>
  <c r="E73" i="3"/>
  <c r="E74" i="3"/>
  <c r="E65" i="3"/>
  <c r="E55" i="3"/>
  <c r="E56" i="3"/>
  <c r="E57" i="3"/>
  <c r="E58" i="3"/>
  <c r="E59" i="3"/>
  <c r="E60" i="3"/>
  <c r="E61" i="3"/>
  <c r="E62" i="3"/>
  <c r="E63" i="3"/>
  <c r="E54" i="3"/>
  <c r="E44" i="3"/>
  <c r="E45" i="3"/>
  <c r="E46" i="3"/>
  <c r="E47" i="3"/>
  <c r="E48" i="3"/>
  <c r="E49" i="3"/>
  <c r="E50" i="3"/>
  <c r="E51" i="3"/>
  <c r="E52" i="3"/>
  <c r="E43" i="3"/>
  <c r="E33" i="3"/>
  <c r="E34" i="3"/>
  <c r="E35" i="3"/>
  <c r="E36" i="3"/>
  <c r="E37" i="3"/>
  <c r="E38" i="3"/>
  <c r="E39" i="3"/>
  <c r="E40" i="3"/>
  <c r="E41" i="3"/>
  <c r="E32" i="3"/>
  <c r="E22" i="3"/>
  <c r="E23" i="3"/>
  <c r="E24" i="3"/>
  <c r="E25" i="3"/>
  <c r="E26" i="3"/>
  <c r="E27" i="3"/>
  <c r="E28" i="3"/>
  <c r="E29" i="3"/>
  <c r="E30" i="3"/>
  <c r="E21" i="3"/>
  <c r="F11" i="3"/>
  <c r="E11" i="3"/>
  <c r="F17" i="3"/>
  <c r="L33" i="3" s="1"/>
  <c r="K33" i="3"/>
  <c r="F15" i="3"/>
  <c r="E15" i="3"/>
  <c r="F13" i="3"/>
  <c r="D10" i="1"/>
  <c r="D11" i="1"/>
  <c r="D12" i="1"/>
  <c r="D13" i="1"/>
  <c r="D14" i="1"/>
  <c r="D15" i="1"/>
  <c r="D9" i="1"/>
  <c r="L13" i="4" l="1"/>
  <c r="G9" i="1"/>
  <c r="G16" i="1" s="1"/>
  <c r="T21" i="5"/>
  <c r="L37" i="3"/>
  <c r="E12" i="5"/>
  <c r="M10" i="5" s="1"/>
  <c r="E20" i="5"/>
  <c r="M18" i="5" s="1"/>
  <c r="O18" i="5"/>
  <c r="U22" i="5" s="1"/>
  <c r="T32" i="5" s="1"/>
  <c r="K38" i="3"/>
  <c r="K34" i="3"/>
  <c r="L38" i="3"/>
  <c r="K35" i="3"/>
  <c r="L34" i="3"/>
  <c r="K36" i="3"/>
  <c r="L35" i="3"/>
  <c r="K32" i="3"/>
  <c r="K37" i="3"/>
  <c r="L36" i="3"/>
  <c r="L32" i="3"/>
  <c r="A18" i="4"/>
  <c r="M13" i="4"/>
  <c r="C18" i="4"/>
  <c r="L14" i="4" s="1"/>
  <c r="M14" i="4"/>
  <c r="C25" i="4"/>
  <c r="L22" i="4" s="1"/>
  <c r="E18" i="4"/>
  <c r="A34" i="4" l="1"/>
  <c r="L29" i="4" s="1"/>
  <c r="O21" i="1"/>
  <c r="T22" i="5"/>
  <c r="S32" i="5" s="1"/>
  <c r="U32" i="5" s="1"/>
  <c r="V32" i="5" s="1"/>
  <c r="K39" i="3"/>
  <c r="L39" i="3"/>
  <c r="L15" i="4"/>
  <c r="R23" i="4" l="1"/>
  <c r="M38" i="4"/>
  <c r="R22" i="4" s="1"/>
  <c r="C43" i="4"/>
  <c r="Q23" i="4" s="1"/>
  <c r="A43" i="4"/>
  <c r="L38" i="4" s="1"/>
  <c r="Q22" i="4" s="1"/>
  <c r="R38" i="3"/>
  <c r="S47" i="3" s="1"/>
  <c r="P34" i="4" l="1"/>
  <c r="Q34" i="4"/>
  <c r="Y54" i="12"/>
  <c r="V84" i="12" s="1"/>
  <c r="S48" i="3"/>
  <c r="R34" i="4" l="1"/>
  <c r="S3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<sst xmlns="http://schemas.openxmlformats.org/spreadsheetml/2006/main" count="698" uniqueCount="291">
  <si>
    <t xml:space="preserve">These component simulations were created by the Office of Accountability in the Spring of 2023. If you have any questions or would like to report an error, then please contact us at Accountability@education.ohio.gov. The sheets are all protected, but if you wish to make changes you can unlock them by going to "Review" and clicking "Unprotect Sheet." There is no password. </t>
  </si>
  <si>
    <t>Update Notes</t>
  </si>
  <si>
    <t>Date</t>
  </si>
  <si>
    <t>Updated Resource Links to 2023 technical documentation</t>
  </si>
  <si>
    <t>Updated maximum PI scores in Achievement tab</t>
  </si>
  <si>
    <t xml:space="preserve">Added Overall Tab
</t>
  </si>
  <si>
    <t xml:space="preserve">Added Hover Notes
</t>
  </si>
  <si>
    <t>How To Use This Simulator:</t>
  </si>
  <si>
    <r>
      <t>To use this simulator. Enter your component measure percentages in the input boxes below (outlined in</t>
    </r>
    <r>
      <rPr>
        <sz val="11"/>
        <color rgb="FFFF0000"/>
        <rFont val="Source Sans Pro"/>
        <family val="2"/>
      </rPr>
      <t xml:space="preserve"> red</t>
    </r>
    <r>
      <rPr>
        <sz val="11"/>
        <color theme="1"/>
        <rFont val="Source Sans Pro"/>
        <family val="2"/>
      </rPr>
      <t>).</t>
    </r>
  </si>
  <si>
    <t>Select the "School" or "District" PI type to ensure the correct percentage is calculated.</t>
  </si>
  <si>
    <t>Performance Index Inputs</t>
  </si>
  <si>
    <t>Performance Index</t>
  </si>
  <si>
    <t>Component Rating</t>
  </si>
  <si>
    <t>Input % of Students in Each Achievement Level</t>
  </si>
  <si>
    <t>Achievement Level</t>
  </si>
  <si>
    <t>% of Students</t>
  </si>
  <si>
    <t>Points for this Level</t>
  </si>
  <si>
    <t>Points Received</t>
  </si>
  <si>
    <t>Advanced Plus</t>
  </si>
  <si>
    <t>Performance Index:</t>
  </si>
  <si>
    <t>Advanced</t>
  </si>
  <si>
    <t>Accomplished</t>
  </si>
  <si>
    <t>Score Range</t>
  </si>
  <si>
    <t>Stars</t>
  </si>
  <si>
    <t>Proficient</t>
  </si>
  <si>
    <t>to</t>
  </si>
  <si>
    <t>1 Star</t>
  </si>
  <si>
    <t>Basic</t>
  </si>
  <si>
    <t>The Performance Index is divided by the Max PI to find the Percent</t>
  </si>
  <si>
    <t>2 Stars</t>
  </si>
  <si>
    <t>Limited</t>
  </si>
  <si>
    <t>3 Stars</t>
  </si>
  <si>
    <t>Untested</t>
  </si>
  <si>
    <t>4 Stars</t>
  </si>
  <si>
    <t>Total %</t>
  </si>
  <si>
    <t>Performance Index Percent:</t>
  </si>
  <si>
    <t>100%+</t>
  </si>
  <si>
    <t>5 Stars</t>
  </si>
  <si>
    <t>Select PI Type</t>
  </si>
  <si>
    <t>District</t>
  </si>
  <si>
    <t>Achievement Component Rating</t>
  </si>
  <si>
    <t>*The Performance Indicators are report only and do not contribute to the component rating</t>
  </si>
  <si>
    <t>Technical Document</t>
  </si>
  <si>
    <t>Report Card Resources</t>
  </si>
  <si>
    <r>
      <t>To use this simulator. Enter your growth index and effect size in the input boxes below (outlined in</t>
    </r>
    <r>
      <rPr>
        <sz val="11"/>
        <color rgb="FFFF0000"/>
        <rFont val="Source Sans Pro"/>
        <family val="2"/>
      </rPr>
      <t xml:space="preserve"> red</t>
    </r>
    <r>
      <rPr>
        <sz val="11"/>
        <color theme="1"/>
        <rFont val="Source Sans Pro"/>
        <family val="2"/>
      </rPr>
      <t>).</t>
    </r>
  </si>
  <si>
    <t>Value-Added Inputs</t>
  </si>
  <si>
    <t>Select Value-Added Type</t>
  </si>
  <si>
    <t>Criteria</t>
  </si>
  <si>
    <t>Growth Index</t>
  </si>
  <si>
    <t>Effect Size</t>
  </si>
  <si>
    <t>Input Value-Added Growth Index and Effect Size</t>
  </si>
  <si>
    <t>-</t>
  </si>
  <si>
    <t>Progress Component Rating</t>
  </si>
  <si>
    <r>
      <t>To use this simulator. Enter your gap closing measure data in the input boxes below (outlined in</t>
    </r>
    <r>
      <rPr>
        <sz val="11"/>
        <color rgb="FFFF0000"/>
        <rFont val="Source Sans Pro"/>
        <family val="2"/>
      </rPr>
      <t xml:space="preserve"> red</t>
    </r>
    <r>
      <rPr>
        <sz val="11"/>
        <color theme="1"/>
        <rFont val="Source Sans Pro"/>
        <family val="2"/>
      </rPr>
      <t>).</t>
    </r>
  </si>
  <si>
    <t>The applicable option will include/remove the measure from the calculation by selecting "Yes" or "No"</t>
  </si>
  <si>
    <t>SELECT YEAR</t>
  </si>
  <si>
    <t>Component Measure Inputs</t>
  </si>
  <si>
    <t>Goals</t>
  </si>
  <si>
    <t>Points</t>
  </si>
  <si>
    <t>Point Totals</t>
  </si>
  <si>
    <t>Chronic Absenteeism Measure</t>
  </si>
  <si>
    <t>Applicable</t>
  </si>
  <si>
    <t>Chronic Absenteeism Percent</t>
  </si>
  <si>
    <t>Points Possible</t>
  </si>
  <si>
    <t>Chronic Absenteeism Indicator</t>
  </si>
  <si>
    <t>Yes</t>
  </si>
  <si>
    <t>Previous Year Percent</t>
  </si>
  <si>
    <t>Change</t>
  </si>
  <si>
    <t>Gifted Measure</t>
  </si>
  <si>
    <t>Performance Index Percent</t>
  </si>
  <si>
    <t>Gifted Performance Index</t>
  </si>
  <si>
    <t>Star Rating</t>
  </si>
  <si>
    <t>Gifted Progress</t>
  </si>
  <si>
    <t>3, 4, 5 Star</t>
  </si>
  <si>
    <t>Gifted Identification Percent</t>
  </si>
  <si>
    <t>Gifted Id and Services</t>
  </si>
  <si>
    <t>ELP Measure</t>
  </si>
  <si>
    <t>English Learner Proficiency</t>
  </si>
  <si>
    <t>English Language Proficiency Improvement Indicator</t>
  </si>
  <si>
    <t>Previous Year Proficiency</t>
  </si>
  <si>
    <t>ELA Achievement Measure</t>
  </si>
  <si>
    <t>ELA Achievement - All Students</t>
  </si>
  <si>
    <t>ELA Achievement - American Indian/Alaskan Native</t>
  </si>
  <si>
    <t>ELA Achievement - Asian/Pacific Islander</t>
  </si>
  <si>
    <t>ELA Achievement - Black, Non-Hispanic</t>
  </si>
  <si>
    <t>ELA Achievement - Hispanic</t>
  </si>
  <si>
    <t>ELA Achievement - Multiracial</t>
  </si>
  <si>
    <t>ELA Achievement - White, Non-Hispanic</t>
  </si>
  <si>
    <t>ELA Achievement - Economic Disadvantaged</t>
  </si>
  <si>
    <t>Measure</t>
  </si>
  <si>
    <t>Points Total</t>
  </si>
  <si>
    <t>ELA Growth Measure</t>
  </si>
  <si>
    <t>Chronic Absenteeism</t>
  </si>
  <si>
    <t>ELA Growth - All Students</t>
  </si>
  <si>
    <t>Gifted Indicator</t>
  </si>
  <si>
    <t>ELA Growth - American Indian/Alaskan Native</t>
  </si>
  <si>
    <t>ELP Indicator</t>
  </si>
  <si>
    <t>ELA Growth - Asian/Pacific Islander</t>
  </si>
  <si>
    <t>ELA Achievement</t>
  </si>
  <si>
    <t>ELA Growth - Black, Non-Hispanic</t>
  </si>
  <si>
    <t>ELA Growth</t>
  </si>
  <si>
    <t>Participation Demotion</t>
  </si>
  <si>
    <t>ELA Growth - Hispanic</t>
  </si>
  <si>
    <t>Math Achievement</t>
  </si>
  <si>
    <t>Participation Rate</t>
  </si>
  <si>
    <t xml:space="preserve">Goal </t>
  </si>
  <si>
    <t>Demotion Percentage Point Reduction</t>
  </si>
  <si>
    <t>ELA Growth - Multiracial</t>
  </si>
  <si>
    <t>Math Growth</t>
  </si>
  <si>
    <t>ELA Growth - White, Non-Hispanic</t>
  </si>
  <si>
    <t>Graduation</t>
  </si>
  <si>
    <t>ELA Growth - Economic Disadvantaged</t>
  </si>
  <si>
    <t>Total</t>
  </si>
  <si>
    <t>Math Achievement Measure</t>
  </si>
  <si>
    <t>Math Achievement - All Students</t>
  </si>
  <si>
    <t>Math Achievement - American Indian/Alaskan Native</t>
  </si>
  <si>
    <t>Math Achievement - Asian/Pacific Islander</t>
  </si>
  <si>
    <t>Math Achievement - Black, Non-Hispanic</t>
  </si>
  <si>
    <t>Math Achievement - Hispanic</t>
  </si>
  <si>
    <t>Gap Closing Percent</t>
  </si>
  <si>
    <t>Math Achievement - Multiracial</t>
  </si>
  <si>
    <t>Gap Closing Rating</t>
  </si>
  <si>
    <t>Math Achievement - White, Non-Hispanic</t>
  </si>
  <si>
    <t>Math Achievement - Economic Disadvantaged</t>
  </si>
  <si>
    <t>Math Achievement - Students with Diabilities</t>
  </si>
  <si>
    <t>Math Growth Measure</t>
  </si>
  <si>
    <t>Math Growth - All Students</t>
  </si>
  <si>
    <t>Math Growth - American Indian/Alaskan Native</t>
  </si>
  <si>
    <t>Math Growth - Asian/Pacific Islander</t>
  </si>
  <si>
    <t>Math Growth - Black, Non-Hispanic</t>
  </si>
  <si>
    <t>Math Growth - Hispanic</t>
  </si>
  <si>
    <t>Math Growth - Multiracial</t>
  </si>
  <si>
    <t>Math Growth - White, Non-Hispanic</t>
  </si>
  <si>
    <t>Math Growth - Economic Disadvantaged</t>
  </si>
  <si>
    <t>Math Growth - English Learners</t>
  </si>
  <si>
    <t>Math Growth - Students with Disabilities</t>
  </si>
  <si>
    <t>Graduation Measure</t>
  </si>
  <si>
    <t>Graduation Rate</t>
  </si>
  <si>
    <t>Graduation - All Students</t>
  </si>
  <si>
    <t>Graduation - American Indian/Alaskan Native</t>
  </si>
  <si>
    <t>Graduation - Asian/Pacific Islander</t>
  </si>
  <si>
    <t>Graduation - Black, Non-Hispanic</t>
  </si>
  <si>
    <t>Graduation - Hispanic</t>
  </si>
  <si>
    <t>Graduation - Multiracial</t>
  </si>
  <si>
    <t>Graduation - White, Non-Hispanic</t>
  </si>
  <si>
    <t>Graduation - Economically Disadvantaged</t>
  </si>
  <si>
    <t>Graduation - English Learners</t>
  </si>
  <si>
    <t>Graduation - Students with Disabilities</t>
  </si>
  <si>
    <r>
      <t>To use this simulator. Enter your gifted identification and served data in the input boxes below (outlined in</t>
    </r>
    <r>
      <rPr>
        <sz val="11"/>
        <color rgb="FFFF0000"/>
        <rFont val="Source Sans Pro"/>
        <family val="2"/>
      </rPr>
      <t xml:space="preserve"> red</t>
    </r>
    <r>
      <rPr>
        <sz val="11"/>
        <color theme="1"/>
        <rFont val="Source Sans Pro"/>
        <family val="2"/>
      </rPr>
      <t>).</t>
    </r>
  </si>
  <si>
    <t>Select the year to ensure the correct met % is applied.</t>
  </si>
  <si>
    <t>Building Inputs</t>
  </si>
  <si>
    <t>SUPERIOR COGNITIVE AND SPECIFIC ACADEMIC ABILITY IDENTIFICATION AND SERVICES</t>
  </si>
  <si>
    <t>K-12 Band</t>
  </si>
  <si>
    <t>Superior Cognitive</t>
  </si>
  <si>
    <t>Identified</t>
  </si>
  <si>
    <t>Served</t>
  </si>
  <si>
    <t>Percent Identified</t>
  </si>
  <si>
    <t>Percent Served</t>
  </si>
  <si>
    <t>CREATIVE THINKING AND VISUAL OR PERFORMING ARTS ABILITY IDENTIFICATION AND SERVICES</t>
  </si>
  <si>
    <t>Creative Thinking</t>
  </si>
  <si>
    <t>Category</t>
  </si>
  <si>
    <t>Total Points</t>
  </si>
  <si>
    <t>Total Possible</t>
  </si>
  <si>
    <t>ECONOMIC DISADVANTAGE REPRESENTATION INDEX</t>
  </si>
  <si>
    <t>Economic Disadvantage FTE</t>
  </si>
  <si>
    <t>Total FTE</t>
  </si>
  <si>
    <t>ED Rep Index</t>
  </si>
  <si>
    <t>Representation Index</t>
  </si>
  <si>
    <t>UNDERREPRESENTED MINORITY REPRESENTATION INDEX</t>
  </si>
  <si>
    <t>Final Percent</t>
  </si>
  <si>
    <t>Indicator</t>
  </si>
  <si>
    <t>Underrepresented Minority FTE</t>
  </si>
  <si>
    <t>Minority Rep Index</t>
  </si>
  <si>
    <t>Select Year</t>
  </si>
  <si>
    <t>District Inputs</t>
  </si>
  <si>
    <t>SUPERIOR COGNITIVE AND SPECIFIC ACADEMIC ABILITY IDENTIFICATION</t>
  </si>
  <si>
    <t>K-2 Grade Band</t>
  </si>
  <si>
    <t>3-6 Grade Band</t>
  </si>
  <si>
    <t>7-8 Grade Band</t>
  </si>
  <si>
    <t>9-12 Grade Band</t>
  </si>
  <si>
    <t>Identification K-2</t>
  </si>
  <si>
    <t>Identification 3-6</t>
  </si>
  <si>
    <t>Identification 7-8</t>
  </si>
  <si>
    <t>Identification 9-12</t>
  </si>
  <si>
    <t>SUPERIOR COGNITIVE AND SPECIFIC ACADEMIC ABILITY SERVED</t>
  </si>
  <si>
    <t>Served K-2</t>
  </si>
  <si>
    <t>Served 3-6</t>
  </si>
  <si>
    <t>Served 7-8</t>
  </si>
  <si>
    <t>Served 9-12</t>
  </si>
  <si>
    <t>Creative Thinking/Visual Arts</t>
  </si>
  <si>
    <t>K-12 Grade Span</t>
  </si>
  <si>
    <t>The Improving K-3 Literacy measure also includes a question about the percent of Kindergarten student found to be "off track".</t>
  </si>
  <si>
    <t>You will need to select either Yes or No from the drop down in that input box before the simulator will preform any calculations.</t>
  </si>
  <si>
    <t>Inputs</t>
  </si>
  <si>
    <t>Measure Weighting</t>
  </si>
  <si>
    <t>Promotion to Fourth Grade</t>
  </si>
  <si>
    <t>Enter a number between 0 and 100</t>
  </si>
  <si>
    <t>Does the building/district serve 3rd Grade?</t>
  </si>
  <si>
    <t>Weighting</t>
  </si>
  <si>
    <t>Weighted Points</t>
  </si>
  <si>
    <t>Please Select Yes or No</t>
  </si>
  <si>
    <t>To</t>
  </si>
  <si>
    <t>Early Literacy
Component Rating</t>
  </si>
  <si>
    <t>Proficiency in Third Grade Reading</t>
  </si>
  <si>
    <t>Improving  K-3 Literacy</t>
  </si>
  <si>
    <t>Were less than 10% of your Kindergarten students 'off track'?</t>
  </si>
  <si>
    <t>Total Weighted Points</t>
  </si>
  <si>
    <t>Improving K-3 Literacy</t>
  </si>
  <si>
    <t>No</t>
  </si>
  <si>
    <t>To use this simulator enter the number of four-year graduates and five-year graduates.  Enter the number of students in the four-year graduation cohort and five-year graduation cohort</t>
  </si>
  <si>
    <t>Graduation Inputs</t>
  </si>
  <si>
    <t>Graduation Component Rating</t>
  </si>
  <si>
    <t>Weighted Graduation Rate Range</t>
  </si>
  <si>
    <t>Four-Year Graduates</t>
  </si>
  <si>
    <t>Students in the Class of Prior year</t>
  </si>
  <si>
    <t>Four-Year Adjusted Cohort Graduation Rate Meaure</t>
  </si>
  <si>
    <t xml:space="preserve">Weighted Percentage </t>
  </si>
  <si>
    <t xml:space="preserve">To </t>
  </si>
  <si>
    <t>Weighted Graduation Rate</t>
  </si>
  <si>
    <t>Five-Year Graduates</t>
  </si>
  <si>
    <t>Students in the Class of 2 years Prior</t>
  </si>
  <si>
    <t>Five-Year Adjusted Cohort Graduation Rate Measure</t>
  </si>
  <si>
    <t>Weighted Percentage</t>
  </si>
  <si>
    <r>
      <t>To use this simulator. Enter your component data in the input boxes below (outlined in</t>
    </r>
    <r>
      <rPr>
        <sz val="11"/>
        <color rgb="FFFF0000"/>
        <rFont val="Source Sans Pro"/>
        <family val="2"/>
      </rPr>
      <t xml:space="preserve"> red</t>
    </r>
    <r>
      <rPr>
        <sz val="11"/>
        <color theme="1"/>
        <rFont val="Source Sans Pro"/>
        <family val="2"/>
      </rPr>
      <t>).</t>
    </r>
  </si>
  <si>
    <t>Component Inputs</t>
  </si>
  <si>
    <t>Achievement</t>
  </si>
  <si>
    <t>PERFORMANCE INDEX PERCENT OF MAX SCORE
PERCENT TO POINTS CONVERSION</t>
  </si>
  <si>
    <t>Percentage</t>
  </si>
  <si>
    <t>5 Star
&gt;=90%</t>
  </si>
  <si>
    <t>4 Star
&gt;=80% to &lt;90%</t>
  </si>
  <si>
    <t>PI Percentage</t>
  </si>
  <si>
    <t>3 Star
&gt;=70% to &lt;80%</t>
  </si>
  <si>
    <t>2 Star
&gt;=50% to &lt;70%</t>
  </si>
  <si>
    <t>1 Star
&lt;50%</t>
  </si>
  <si>
    <t>Progress</t>
  </si>
  <si>
    <t>SCHOOL GROWTH INDEX AND EFFECT SIZE TO POINTS</t>
  </si>
  <si>
    <t>&gt;=2</t>
  </si>
  <si>
    <t>&gt;=0.2</t>
  </si>
  <si>
    <t>&lt;0.2</t>
  </si>
  <si>
    <t>&gt;=-2 to &lt;2</t>
  </si>
  <si>
    <t>--</t>
  </si>
  <si>
    <t>&lt;-2</t>
  </si>
  <si>
    <t>&gt;=-0.2</t>
  </si>
  <si>
    <t>&lt;-0.2</t>
  </si>
  <si>
    <t>Gap Closing</t>
  </si>
  <si>
    <t>GAP CLOSING PERCENTAGE TO POINTS</t>
  </si>
  <si>
    <t>Component
Rating Scale</t>
  </si>
  <si>
    <t>5 Star
&gt;=60% to 100%</t>
  </si>
  <si>
    <t>Component</t>
  </si>
  <si>
    <t xml:space="preserve">Total Points </t>
  </si>
  <si>
    <t>Weight Toward Overall Grade</t>
  </si>
  <si>
    <t>4 Star
&gt;=45% to &lt;60%</t>
  </si>
  <si>
    <t>Early Literacy</t>
  </si>
  <si>
    <t>3 Star
&gt;=30% to &lt;45%</t>
  </si>
  <si>
    <t>2 Star
&gt;=10% to &lt;30%</t>
  </si>
  <si>
    <t>1 Star
&lt;10%</t>
  </si>
  <si>
    <t>4.5 Stars</t>
  </si>
  <si>
    <t>3.5 Stars</t>
  </si>
  <si>
    <t>2.5 Stars</t>
  </si>
  <si>
    <t>EARLY LITERACY PERCENTAGE TO POINTS</t>
  </si>
  <si>
    <t>1.5 Stars</t>
  </si>
  <si>
    <t>5 Star
&gt;=88% to 100%</t>
  </si>
  <si>
    <t>4 Star
&gt;=78% to &lt;88%</t>
  </si>
  <si>
    <t>Overall Rating</t>
  </si>
  <si>
    <t>3 Star
&gt;=68% to &lt;78%</t>
  </si>
  <si>
    <t>2 Star
&gt;=58% to &lt;68%</t>
  </si>
  <si>
    <t>1 Star
&lt;58%</t>
  </si>
  <si>
    <t>GRADUATION PERCENTAGE TO POINTS</t>
  </si>
  <si>
    <t>5 Star
&gt;=96.5% to 100%</t>
  </si>
  <si>
    <t>4 Star
&gt;=93.5% to &lt;96.5%</t>
  </si>
  <si>
    <t>3 Star
&gt;=90% to &lt;93.5%</t>
  </si>
  <si>
    <t>2 Star
&gt;=84% to &lt;90%</t>
  </si>
  <si>
    <t>1 Star
&lt;84%</t>
  </si>
  <si>
    <t>2023-2024</t>
  </si>
  <si>
    <t>Students Identified FTE</t>
  </si>
  <si>
    <t>Total Students FTE</t>
  </si>
  <si>
    <t>Students Served FTE</t>
  </si>
  <si>
    <t>ED Students Identified FTE</t>
  </si>
  <si>
    <t>Total Identified FTE</t>
  </si>
  <si>
    <t>ED Students Served FTE</t>
  </si>
  <si>
    <t>Total Served FTE</t>
  </si>
  <si>
    <t>Minority Identified FTE</t>
  </si>
  <si>
    <t>Minority Served FTE</t>
  </si>
  <si>
    <t>Updated maximum PI scores in Achievement tab and technical document links</t>
  </si>
  <si>
    <t>Max PI District 2024</t>
  </si>
  <si>
    <t>Max PI Building 2024</t>
  </si>
  <si>
    <t>ELA Achievement - Students with Disabilities</t>
  </si>
  <si>
    <t>ELA Achievement -English Learners</t>
  </si>
  <si>
    <t>ELA Growth -Student with Disabilities</t>
  </si>
  <si>
    <t>ELA Growth - English Learners</t>
  </si>
  <si>
    <t>Math Achievement -English Learners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</si>
</sst>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
    <numFmt numFmtId="167" formatCode="0.000"/>
    <numFmt numFmtId="168" formatCode="0.000%"/>
  </numFmts>
  <fonts count="31" x14ac:knownFonts="1">
    <font>
      <sz val="11"/>
      <color theme="1"/>
      <name val="Calibri"/>
      <family val="2"/>
      <scheme val="minor"/>
    </font>
    <font>
      <sz val="11"/>
      <color theme="1"/>
      <name val="Calibri"/>
      <family val="2"/>
      <scheme val="minor"/>
    </font>
    <font>
      <u/>
      <sz val="11"/>
      <color theme="10"/>
      <name val="Calibri"/>
      <family val="2"/>
      <scheme val="minor"/>
    </font>
    <font>
      <sz val="11"/>
      <color rgb="FF9C0006"/>
      <name val="Calibri"/>
      <family val="2"/>
      <scheme val="minor"/>
    </font>
    <font>
      <sz val="11"/>
      <color theme="0"/>
      <name val="Calibri"/>
      <family val="2"/>
      <scheme val="minor"/>
    </font>
    <font>
      <b/>
      <sz val="15"/>
      <color theme="3"/>
      <name val="Calibri"/>
      <family val="2"/>
      <scheme val="minor"/>
    </font>
    <font>
      <b/>
      <sz val="11"/>
      <color rgb="FFFF0000"/>
      <name val="Source Sans Pro"/>
      <family val="2"/>
    </font>
    <font>
      <sz val="11"/>
      <color theme="1"/>
      <name val="Source Sans Pro"/>
      <family val="2"/>
    </font>
    <font>
      <sz val="11"/>
      <color rgb="FFFF0000"/>
      <name val="Source Sans Pro"/>
      <family val="2"/>
    </font>
    <font>
      <b/>
      <sz val="16"/>
      <color theme="1"/>
      <name val="Source Sans Pro"/>
      <family val="2"/>
    </font>
    <font>
      <b/>
      <sz val="11"/>
      <color theme="1"/>
      <name val="Source Sans Pro"/>
      <family val="2"/>
    </font>
    <font>
      <b/>
      <sz val="14"/>
      <color theme="1"/>
      <name val="Source Sans Pro"/>
      <family val="2"/>
    </font>
    <font>
      <b/>
      <sz val="14"/>
      <name val="Source Sans Pro"/>
      <family val="2"/>
    </font>
    <font>
      <sz val="14"/>
      <color theme="1"/>
      <name val="Source Sans Pro"/>
      <family val="2"/>
    </font>
    <font>
      <b/>
      <sz val="48"/>
      <color theme="1"/>
      <name val="Source Sans Pro"/>
      <family val="2"/>
    </font>
    <font>
      <u/>
      <sz val="11"/>
      <color theme="10"/>
      <name val="Source Sans Pro"/>
      <family val="2"/>
    </font>
    <font>
      <b/>
      <sz val="12"/>
      <color theme="1"/>
      <name val="Source Sans Pro"/>
      <family val="2"/>
    </font>
    <font>
      <b/>
      <sz val="18"/>
      <color theme="1"/>
      <name val="Source Sans Pro"/>
      <family val="2"/>
    </font>
    <font>
      <b/>
      <sz val="22"/>
      <color theme="1"/>
      <name val="Source Sans Pro"/>
      <family val="2"/>
    </font>
    <font>
      <sz val="11"/>
      <color theme="9" tint="0.79998168889431442"/>
      <name val="Source Sans Pro"/>
      <family val="2"/>
    </font>
    <font>
      <b/>
      <sz val="20"/>
      <color theme="1"/>
      <name val="Source Sans Pro"/>
      <family val="2"/>
    </font>
    <font>
      <b/>
      <sz val="11"/>
      <color theme="0"/>
      <name val="Source Sans Pro"/>
      <family val="2"/>
    </font>
    <font>
      <sz val="11"/>
      <color rgb="FF000000"/>
      <name val="Source Sans Pro"/>
      <family val="2"/>
    </font>
    <font>
      <b/>
      <sz val="14"/>
      <color theme="0" tint="-4.9989318521683403E-2"/>
      <name val="Source Sans Pro"/>
      <family val="2"/>
    </font>
    <font>
      <b/>
      <sz val="36"/>
      <color theme="1"/>
      <name val="Source Sans Pro"/>
      <family val="2"/>
    </font>
    <font>
      <sz val="11"/>
      <color theme="0" tint="-0.249977111117893"/>
      <name val="Source Sans Pro"/>
      <family val="2"/>
    </font>
    <font>
      <sz val="11"/>
      <color theme="4" tint="0.79998168889431442"/>
      <name val="Source Sans Pro"/>
      <family val="2"/>
    </font>
    <font>
      <b/>
      <sz val="24"/>
      <color theme="1"/>
      <name val="Source Sans Pro"/>
      <family val="2"/>
    </font>
    <font>
      <b/>
      <sz val="14"/>
      <color rgb="FF9C0006"/>
      <name val="Source Sans Pro"/>
      <family val="2"/>
    </font>
    <font>
      <b/>
      <sz val="11"/>
      <color theme="3"/>
      <name val="Source Sans Pro"/>
      <family val="2"/>
    </font>
    <font>
      <sz val="12"/>
      <color theme="1"/>
      <name val="Source Sans Pro"/>
      <family val="2"/>
    </font>
  </fonts>
  <fills count="3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39997558519241921"/>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0" tint="-0.149998474074526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FFC7CE"/>
      </patternFill>
    </fill>
    <fill>
      <patternFill patternType="solid">
        <fgColor theme="9"/>
      </patternFill>
    </fill>
    <fill>
      <patternFill patternType="solid">
        <fgColor theme="8" tint="0.7999816888943144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39997558519241921"/>
        <bgColor indexed="65"/>
      </patternFill>
    </fill>
    <fill>
      <patternFill patternType="solid">
        <fgColor theme="7" tint="0.39997558519241921"/>
        <bgColor theme="9" tint="0.79998168889431442"/>
      </patternFill>
    </fill>
    <fill>
      <patternFill patternType="solid">
        <fgColor theme="7" tint="0.79998168889431442"/>
        <bgColor theme="9" tint="0.79998168889431442"/>
      </patternFill>
    </fill>
  </fills>
  <borders count="1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theme="1"/>
      </left>
      <right style="thick">
        <color theme="1"/>
      </right>
      <top style="thick">
        <color theme="1"/>
      </top>
      <bottom style="thick">
        <color theme="1"/>
      </bottom>
      <diagonal/>
    </border>
    <border>
      <left/>
      <right/>
      <top style="thick">
        <color rgb="FFFF0000"/>
      </top>
      <bottom style="thick">
        <color rgb="FFFF0000"/>
      </bottom>
      <diagonal/>
    </border>
    <border>
      <left/>
      <right/>
      <top style="thick">
        <color indexed="64"/>
      </top>
      <bottom/>
      <diagonal/>
    </border>
    <border>
      <left style="thick">
        <color indexed="64"/>
      </left>
      <right/>
      <top style="thick">
        <color rgb="FFFF0000"/>
      </top>
      <bottom style="thick">
        <color rgb="FFFF0000"/>
      </bottom>
      <diagonal/>
    </border>
    <border>
      <left/>
      <right style="thick">
        <color indexed="64"/>
      </right>
      <top style="thick">
        <color rgb="FFFF0000"/>
      </top>
      <bottom style="thick">
        <color rgb="FFFF0000"/>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style="thick">
        <color indexed="64"/>
      </top>
      <bottom/>
      <diagonal/>
    </border>
    <border>
      <left style="thin">
        <color indexed="64"/>
      </left>
      <right style="thick">
        <color rgb="FFFF0000"/>
      </right>
      <top style="thick">
        <color rgb="FFFF0000"/>
      </top>
      <bottom style="thick">
        <color rgb="FFFF0000"/>
      </bottom>
      <diagonal/>
    </border>
    <border>
      <left style="thin">
        <color indexed="64"/>
      </left>
      <right/>
      <top/>
      <bottom style="thick">
        <color indexed="64"/>
      </bottom>
      <diagonal/>
    </border>
    <border>
      <left style="thin">
        <color indexed="64"/>
      </left>
      <right/>
      <top style="thick">
        <color rgb="FFFF0000"/>
      </top>
      <bottom style="thick">
        <color rgb="FFFF0000"/>
      </bottom>
      <diagonal/>
    </border>
    <border>
      <left style="thin">
        <color indexed="64"/>
      </left>
      <right/>
      <top style="medium">
        <color indexed="64"/>
      </top>
      <bottom style="medium">
        <color indexed="64"/>
      </bottom>
      <diagonal/>
    </border>
    <border>
      <left style="thin">
        <color indexed="64"/>
      </left>
      <right/>
      <top style="medium">
        <color indexed="64"/>
      </top>
      <bottom style="thick">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ck">
        <color rgb="FFFF0000"/>
      </top>
      <bottom/>
      <diagonal/>
    </border>
    <border>
      <left/>
      <right style="thick">
        <color indexed="64"/>
      </right>
      <top style="thick">
        <color rgb="FFFF0000"/>
      </top>
      <bottom/>
      <diagonal/>
    </border>
    <border>
      <left style="thick">
        <color indexed="64"/>
      </left>
      <right/>
      <top style="thick">
        <color rgb="FFFF0000"/>
      </top>
      <bottom/>
      <diagonal/>
    </border>
    <border>
      <left style="thin">
        <color indexed="64"/>
      </left>
      <right/>
      <top style="thick">
        <color rgb="FFFF0000"/>
      </top>
      <bottom style="medium">
        <color indexed="64"/>
      </bottom>
      <diagonal/>
    </border>
    <border>
      <left/>
      <right style="thick">
        <color indexed="64"/>
      </right>
      <top style="thick">
        <color rgb="FFFF0000"/>
      </top>
      <bottom style="medium">
        <color indexed="64"/>
      </bottom>
      <diagonal/>
    </border>
    <border>
      <left/>
      <right style="thick">
        <color indexed="64"/>
      </right>
      <top style="medium">
        <color indexed="64"/>
      </top>
      <bottom style="thick">
        <color indexed="64"/>
      </bottom>
      <diagonal/>
    </border>
    <border>
      <left style="thick">
        <color indexed="64"/>
      </left>
      <right/>
      <top style="thick">
        <color rgb="FFFF0000"/>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style="thick">
        <color rgb="FFFF0000"/>
      </right>
      <top style="medium">
        <color indexed="64"/>
      </top>
      <bottom style="thick">
        <color rgb="FFFF0000"/>
      </bottom>
      <diagonal/>
    </border>
    <border>
      <left style="thick">
        <color rgb="FFFF0000"/>
      </left>
      <right style="thick">
        <color rgb="FFFF0000"/>
      </right>
      <top style="thick">
        <color rgb="FFFF0000"/>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ck">
        <color indexed="64"/>
      </top>
      <bottom style="medium">
        <color indexed="64"/>
      </bottom>
      <diagonal/>
    </border>
    <border>
      <left style="thin">
        <color indexed="64"/>
      </left>
      <right/>
      <top/>
      <bottom style="thick">
        <color rgb="FFFF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ck">
        <color indexed="64"/>
      </bottom>
      <diagonal/>
    </border>
    <border>
      <left style="thick">
        <color rgb="FFFF0000"/>
      </left>
      <right style="thick">
        <color rgb="FFFF0000"/>
      </right>
      <top style="thin">
        <color indexed="64"/>
      </top>
      <bottom style="thick">
        <color rgb="FFFF0000"/>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medium">
        <color indexed="64"/>
      </top>
      <bottom/>
      <diagonal/>
    </border>
    <border>
      <left/>
      <right/>
      <top/>
      <bottom style="thick">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medium">
        <color indexed="64"/>
      </left>
      <right style="thick">
        <color rgb="FFFF0000"/>
      </right>
      <top style="thick">
        <color rgb="FFFF0000"/>
      </top>
      <bottom style="thick">
        <color rgb="FFFF0000"/>
      </bottom>
      <diagonal/>
    </border>
    <border>
      <left/>
      <right style="medium">
        <color indexed="64"/>
      </right>
      <top style="thick">
        <color rgb="FFFF0000"/>
      </top>
      <bottom style="thick">
        <color rgb="FFFF0000"/>
      </bottom>
      <diagonal/>
    </border>
    <border>
      <left/>
      <right style="medium">
        <color indexed="64"/>
      </right>
      <top/>
      <bottom style="thick">
        <color rgb="FFFF0000"/>
      </bottom>
      <diagonal/>
    </border>
  </borders>
  <cellStyleXfs count="17">
    <xf numFmtId="0" fontId="0" fillId="0" borderId="0"/>
    <xf numFmtId="9"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 fillId="0" borderId="0" applyNumberFormat="0" applyFill="0" applyBorder="0" applyAlignment="0" applyProtection="0"/>
    <xf numFmtId="0" fontId="1" fillId="9" borderId="0" applyNumberFormat="0" applyBorder="0" applyAlignment="0" applyProtection="0"/>
    <xf numFmtId="0" fontId="1" fillId="10" borderId="0" applyNumberFormat="0" applyBorder="0" applyAlignment="0" applyProtection="0"/>
    <xf numFmtId="0" fontId="3" fillId="24" borderId="0" applyNumberFormat="0" applyBorder="0" applyAlignment="0" applyProtection="0"/>
    <xf numFmtId="0" fontId="4" fillId="2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 fillId="0" borderId="104" applyNumberFormat="0" applyFill="0" applyAlignment="0" applyProtection="0"/>
  </cellStyleXfs>
  <cellXfs count="742">
    <xf numFmtId="0" fontId="0" fillId="0" borderId="0" xfId="0"/>
    <xf numFmtId="0" fontId="6" fillId="0" borderId="0" xfId="0" applyFont="1"/>
    <xf numFmtId="0" fontId="7" fillId="0" borderId="0" xfId="0" applyFont="1"/>
    <xf numFmtId="0" fontId="7" fillId="0" borderId="0" xfId="0" applyFont="1" applyAlignment="1">
      <alignment horizontal="center"/>
    </xf>
    <xf numFmtId="0" fontId="7" fillId="9" borderId="9" xfId="6" applyFont="1" applyFill="1" applyBorder="1"/>
    <xf numFmtId="0" fontId="7" fillId="9" borderId="0" xfId="6" applyFont="1" applyFill="1" applyBorder="1"/>
    <xf numFmtId="0" fontId="7" fillId="9" borderId="0" xfId="6" applyFont="1" applyFill="1" applyBorder="1" applyAlignment="1">
      <alignment horizontal="center"/>
    </xf>
    <xf numFmtId="0" fontId="7" fillId="9" borderId="10" xfId="6" applyFont="1" applyFill="1" applyBorder="1" applyAlignment="1">
      <alignment horizontal="center"/>
    </xf>
    <xf numFmtId="0" fontId="7" fillId="17" borderId="9" xfId="6" applyFont="1" applyFill="1" applyBorder="1" applyAlignment="1">
      <alignment horizontal="center"/>
    </xf>
    <xf numFmtId="0" fontId="7" fillId="17" borderId="0" xfId="6" applyFont="1" applyFill="1" applyBorder="1" applyAlignment="1">
      <alignment horizontal="center"/>
    </xf>
    <xf numFmtId="0" fontId="7" fillId="17" borderId="10" xfId="6" applyFont="1" applyFill="1" applyBorder="1" applyAlignment="1">
      <alignment horizontal="center"/>
    </xf>
    <xf numFmtId="0" fontId="7" fillId="32" borderId="9" xfId="0" applyFont="1" applyFill="1" applyBorder="1"/>
    <xf numFmtId="0" fontId="7" fillId="7" borderId="10" xfId="7" applyFont="1" applyBorder="1"/>
    <xf numFmtId="0" fontId="7" fillId="36" borderId="0" xfId="0" applyFont="1" applyFill="1" applyAlignment="1">
      <alignment horizontal="center" wrapText="1"/>
    </xf>
    <xf numFmtId="0" fontId="7" fillId="16" borderId="10" xfId="0" applyFont="1" applyFill="1" applyBorder="1" applyAlignment="1">
      <alignment horizontal="center"/>
    </xf>
    <xf numFmtId="0" fontId="7" fillId="17" borderId="9" xfId="0" applyFont="1" applyFill="1" applyBorder="1" applyAlignment="1">
      <alignment horizontal="center"/>
    </xf>
    <xf numFmtId="0" fontId="7" fillId="17" borderId="0" xfId="0" applyFont="1" applyFill="1" applyAlignment="1">
      <alignment horizontal="center"/>
    </xf>
    <xf numFmtId="0" fontId="7" fillId="17" borderId="10" xfId="0" applyFont="1" applyFill="1" applyBorder="1" applyAlignment="1">
      <alignment horizontal="center"/>
    </xf>
    <xf numFmtId="0" fontId="7" fillId="32" borderId="0" xfId="0" applyFont="1" applyFill="1"/>
    <xf numFmtId="0" fontId="10" fillId="16" borderId="68" xfId="0" applyFont="1" applyFill="1" applyBorder="1" applyAlignment="1">
      <alignment horizontal="center"/>
    </xf>
    <xf numFmtId="0" fontId="10" fillId="16" borderId="70" xfId="0" applyFont="1" applyFill="1" applyBorder="1" applyAlignment="1">
      <alignment horizontal="center"/>
    </xf>
    <xf numFmtId="0" fontId="7" fillId="16" borderId="0" xfId="0" applyFont="1" applyFill="1" applyAlignment="1">
      <alignment horizontal="center"/>
    </xf>
    <xf numFmtId="165" fontId="7" fillId="36" borderId="34" xfId="1" applyNumberFormat="1" applyFont="1" applyFill="1" applyBorder="1" applyAlignment="1">
      <alignment horizontal="center" vertical="center"/>
    </xf>
    <xf numFmtId="0" fontId="7" fillId="36" borderId="34" xfId="0" applyFont="1" applyFill="1" applyBorder="1" applyAlignment="1">
      <alignment horizontal="center" vertical="center"/>
    </xf>
    <xf numFmtId="165" fontId="7" fillId="36" borderId="92" xfId="1" applyNumberFormat="1" applyFont="1" applyFill="1" applyBorder="1" applyAlignment="1">
      <alignment horizontal="center"/>
    </xf>
    <xf numFmtId="2" fontId="7" fillId="36" borderId="106" xfId="0" applyNumberFormat="1" applyFont="1" applyFill="1" applyBorder="1" applyAlignment="1">
      <alignment horizontal="center"/>
    </xf>
    <xf numFmtId="2" fontId="7" fillId="36" borderId="0" xfId="0" applyNumberFormat="1" applyFont="1" applyFill="1" applyAlignment="1">
      <alignment horizontal="center"/>
    </xf>
    <xf numFmtId="165" fontId="7" fillId="16" borderId="92" xfId="1" applyNumberFormat="1" applyFont="1" applyFill="1" applyBorder="1" applyAlignment="1">
      <alignment horizontal="center"/>
    </xf>
    <xf numFmtId="2" fontId="7" fillId="16" borderId="106" xfId="0" applyNumberFormat="1" applyFont="1" applyFill="1" applyBorder="1" applyAlignment="1">
      <alignment horizontal="center"/>
    </xf>
    <xf numFmtId="2" fontId="7" fillId="16" borderId="0" xfId="0" applyNumberFormat="1" applyFont="1" applyFill="1" applyAlignment="1">
      <alignment horizontal="center"/>
    </xf>
    <xf numFmtId="165" fontId="7" fillId="32" borderId="0" xfId="7" applyNumberFormat="1" applyFont="1" applyFill="1" applyBorder="1" applyAlignment="1">
      <alignment horizontal="center"/>
    </xf>
    <xf numFmtId="0" fontId="7" fillId="32" borderId="4" xfId="0" applyFont="1" applyFill="1" applyBorder="1"/>
    <xf numFmtId="165" fontId="7" fillId="7" borderId="8" xfId="7" applyNumberFormat="1" applyFont="1" applyBorder="1" applyAlignment="1">
      <alignment horizontal="center"/>
    </xf>
    <xf numFmtId="165" fontId="7" fillId="7" borderId="5" xfId="7" applyNumberFormat="1" applyFont="1" applyBorder="1" applyAlignment="1">
      <alignment horizontal="center"/>
    </xf>
    <xf numFmtId="0" fontId="7" fillId="32" borderId="9" xfId="0" applyFont="1" applyFill="1" applyBorder="1" applyAlignment="1">
      <alignment horizontal="center"/>
    </xf>
    <xf numFmtId="0" fontId="7" fillId="23" borderId="126" xfId="7" applyFont="1" applyFill="1" applyBorder="1" applyAlignment="1" applyProtection="1">
      <alignment horizontal="center"/>
      <protection locked="0"/>
    </xf>
    <xf numFmtId="0" fontId="7" fillId="32" borderId="6" xfId="0" applyFont="1" applyFill="1" applyBorder="1"/>
    <xf numFmtId="165" fontId="7" fillId="36" borderId="118" xfId="1" applyNumberFormat="1" applyFont="1" applyFill="1" applyBorder="1" applyAlignment="1">
      <alignment horizontal="center" vertical="center"/>
    </xf>
    <xf numFmtId="165" fontId="7" fillId="16" borderId="81" xfId="1" applyNumberFormat="1" applyFont="1" applyFill="1" applyBorder="1" applyAlignment="1">
      <alignment horizontal="center"/>
    </xf>
    <xf numFmtId="2" fontId="7" fillId="16" borderId="108" xfId="0" applyNumberFormat="1" applyFont="1" applyFill="1" applyBorder="1" applyAlignment="1">
      <alignment horizontal="center"/>
    </xf>
    <xf numFmtId="0" fontId="7" fillId="7" borderId="0" xfId="7" applyFont="1" applyBorder="1"/>
    <xf numFmtId="0" fontId="7" fillId="36" borderId="0" xfId="0" applyFont="1" applyFill="1" applyAlignment="1">
      <alignment horizontal="center" vertical="center"/>
    </xf>
    <xf numFmtId="0" fontId="7" fillId="32" borderId="10" xfId="0" applyFont="1" applyFill="1" applyBorder="1"/>
    <xf numFmtId="0" fontId="7" fillId="36" borderId="0" xfId="0" applyFont="1" applyFill="1" applyAlignment="1">
      <alignment horizontal="center"/>
    </xf>
    <xf numFmtId="0" fontId="7" fillId="32" borderId="10" xfId="7" applyFont="1" applyFill="1" applyBorder="1"/>
    <xf numFmtId="0" fontId="7" fillId="36" borderId="0" xfId="0" applyFont="1" applyFill="1"/>
    <xf numFmtId="0" fontId="10" fillId="16" borderId="0" xfId="0" applyFont="1" applyFill="1" applyAlignment="1">
      <alignment horizontal="center"/>
    </xf>
    <xf numFmtId="0" fontId="7" fillId="32" borderId="8" xfId="0" applyFont="1" applyFill="1" applyBorder="1"/>
    <xf numFmtId="0" fontId="7" fillId="32" borderId="5" xfId="0" applyFont="1" applyFill="1" applyBorder="1"/>
    <xf numFmtId="0" fontId="10" fillId="16" borderId="119" xfId="0" applyFont="1" applyFill="1" applyBorder="1" applyAlignment="1">
      <alignment horizontal="center"/>
    </xf>
    <xf numFmtId="0" fontId="10" fillId="16" borderId="47" xfId="0" applyFont="1" applyFill="1" applyBorder="1" applyAlignment="1">
      <alignment horizontal="center"/>
    </xf>
    <xf numFmtId="0" fontId="10" fillId="16" borderId="120" xfId="0" applyFont="1" applyFill="1" applyBorder="1" applyAlignment="1">
      <alignment horizontal="center"/>
    </xf>
    <xf numFmtId="0" fontId="7" fillId="17" borderId="0" xfId="4" applyFont="1" applyFill="1" applyBorder="1" applyAlignment="1">
      <alignment horizontal="center" vertical="center"/>
    </xf>
    <xf numFmtId="0" fontId="7" fillId="17" borderId="10" xfId="4" applyFont="1" applyFill="1" applyBorder="1" applyAlignment="1">
      <alignment horizontal="center" vertical="center"/>
    </xf>
    <xf numFmtId="0" fontId="7" fillId="36" borderId="105" xfId="0" applyFont="1" applyFill="1" applyBorder="1" applyAlignment="1">
      <alignment horizontal="center"/>
    </xf>
    <xf numFmtId="0" fontId="7" fillId="36" borderId="92" xfId="0" applyFont="1" applyFill="1" applyBorder="1" applyAlignment="1">
      <alignment horizontal="center"/>
    </xf>
    <xf numFmtId="0" fontId="7" fillId="36" borderId="106" xfId="0" applyFont="1" applyFill="1" applyBorder="1" applyAlignment="1">
      <alignment horizontal="center"/>
    </xf>
    <xf numFmtId="0" fontId="7" fillId="16" borderId="105" xfId="0" applyFont="1" applyFill="1" applyBorder="1" applyAlignment="1">
      <alignment horizontal="center"/>
    </xf>
    <xf numFmtId="0" fontId="7" fillId="16" borderId="92" xfId="0" applyFont="1" applyFill="1" applyBorder="1" applyAlignment="1">
      <alignment horizontal="center"/>
    </xf>
    <xf numFmtId="0" fontId="7" fillId="16" borderId="106" xfId="0" applyFont="1" applyFill="1" applyBorder="1" applyAlignment="1">
      <alignment horizontal="center"/>
    </xf>
    <xf numFmtId="0" fontId="7" fillId="36" borderId="107" xfId="0" applyFont="1" applyFill="1" applyBorder="1" applyAlignment="1">
      <alignment horizontal="center"/>
    </xf>
    <xf numFmtId="0" fontId="7" fillId="36" borderId="81" xfId="0" applyFont="1" applyFill="1" applyBorder="1" applyAlignment="1">
      <alignment horizontal="center"/>
    </xf>
    <xf numFmtId="0" fontId="7" fillId="36" borderId="108" xfId="0" applyFont="1" applyFill="1" applyBorder="1" applyAlignment="1">
      <alignment horizontal="center"/>
    </xf>
    <xf numFmtId="0" fontId="7" fillId="9" borderId="0" xfId="4" applyFont="1" applyFill="1" applyBorder="1" applyAlignment="1">
      <alignment horizontal="center" vertical="center"/>
    </xf>
    <xf numFmtId="0" fontId="7" fillId="16" borderId="0" xfId="0" applyFont="1" applyFill="1"/>
    <xf numFmtId="0" fontId="7" fillId="9" borderId="0" xfId="6" applyFont="1" applyFill="1" applyBorder="1" applyAlignment="1">
      <alignment horizontal="center" vertical="center"/>
    </xf>
    <xf numFmtId="0" fontId="7" fillId="32" borderId="0" xfId="2" applyFont="1" applyFill="1" applyBorder="1" applyAlignment="1">
      <alignment horizontal="center" vertical="center"/>
    </xf>
    <xf numFmtId="0" fontId="7" fillId="32" borderId="10" xfId="2" applyFont="1" applyFill="1" applyBorder="1" applyAlignment="1">
      <alignment horizontal="center" vertical="center"/>
    </xf>
    <xf numFmtId="0" fontId="7" fillId="17" borderId="9" xfId="4" applyFont="1" applyFill="1" applyBorder="1" applyAlignment="1">
      <alignment horizontal="center" vertical="center"/>
    </xf>
    <xf numFmtId="0" fontId="7" fillId="16" borderId="9" xfId="6" applyFont="1" applyFill="1" applyBorder="1"/>
    <xf numFmtId="0" fontId="10" fillId="16" borderId="109" xfId="0" applyFont="1" applyFill="1" applyBorder="1" applyAlignment="1">
      <alignment horizontal="center" wrapText="1"/>
    </xf>
    <xf numFmtId="0" fontId="10" fillId="16" borderId="33" xfId="0" applyFont="1" applyFill="1" applyBorder="1" applyAlignment="1">
      <alignment horizontal="center" wrapText="1"/>
    </xf>
    <xf numFmtId="0" fontId="10" fillId="16" borderId="33" xfId="0" applyFont="1" applyFill="1" applyBorder="1" applyAlignment="1">
      <alignment horizontal="center"/>
    </xf>
    <xf numFmtId="0" fontId="10" fillId="16" borderId="110" xfId="0" applyFont="1" applyFill="1" applyBorder="1" applyAlignment="1">
      <alignment horizontal="center"/>
    </xf>
    <xf numFmtId="0" fontId="7" fillId="16" borderId="0" xfId="6" applyFont="1" applyFill="1" applyBorder="1" applyAlignment="1">
      <alignment horizontal="center"/>
    </xf>
    <xf numFmtId="0" fontId="7" fillId="16" borderId="10" xfId="6" applyFont="1" applyFill="1" applyBorder="1" applyAlignment="1">
      <alignment horizontal="center"/>
    </xf>
    <xf numFmtId="165" fontId="7" fillId="36" borderId="34" xfId="1" applyNumberFormat="1" applyFont="1" applyFill="1" applyBorder="1" applyAlignment="1">
      <alignment horizontal="center"/>
    </xf>
    <xf numFmtId="0" fontId="9" fillId="18" borderId="1" xfId="4" applyFont="1" applyFill="1" applyBorder="1" applyAlignment="1">
      <alignment horizontal="center" vertical="center"/>
    </xf>
    <xf numFmtId="0" fontId="9" fillId="18" borderId="2" xfId="4" applyFont="1" applyFill="1" applyBorder="1" applyAlignment="1">
      <alignment horizontal="center" vertical="center"/>
    </xf>
    <xf numFmtId="0" fontId="9" fillId="14" borderId="13" xfId="0" applyFont="1" applyFill="1" applyBorder="1" applyAlignment="1">
      <alignment horizontal="center" vertical="center" wrapText="1"/>
    </xf>
    <xf numFmtId="0" fontId="9" fillId="14" borderId="14" xfId="0" applyFont="1" applyFill="1" applyBorder="1" applyAlignment="1">
      <alignment horizontal="center" vertical="center" wrapText="1"/>
    </xf>
    <xf numFmtId="0" fontId="7" fillId="32" borderId="0" xfId="8" applyFont="1" applyFill="1" applyBorder="1" applyAlignment="1" applyProtection="1">
      <alignment horizontal="center"/>
      <protection locked="0"/>
    </xf>
    <xf numFmtId="165" fontId="7" fillId="16" borderId="34" xfId="1" applyNumberFormat="1" applyFont="1" applyFill="1" applyBorder="1" applyAlignment="1">
      <alignment horizontal="center"/>
    </xf>
    <xf numFmtId="0" fontId="11" fillId="9" borderId="113" xfId="6" applyFont="1" applyFill="1" applyBorder="1" applyAlignment="1">
      <alignment horizontal="center"/>
    </xf>
    <xf numFmtId="0" fontId="7" fillId="16" borderId="121" xfId="0" applyFont="1" applyFill="1" applyBorder="1" applyAlignment="1">
      <alignment horizontal="center"/>
    </xf>
    <xf numFmtId="0" fontId="11" fillId="17" borderId="90" xfId="6" applyFont="1" applyFill="1" applyBorder="1" applyAlignment="1">
      <alignment horizontal="center"/>
    </xf>
    <xf numFmtId="0" fontId="10" fillId="17" borderId="123" xfId="0" applyFont="1" applyFill="1" applyBorder="1" applyAlignment="1">
      <alignment horizontal="center"/>
    </xf>
    <xf numFmtId="0" fontId="11" fillId="9" borderId="105" xfId="6" applyFont="1" applyFill="1" applyBorder="1" applyAlignment="1">
      <alignment horizontal="center"/>
    </xf>
    <xf numFmtId="0" fontId="11" fillId="9" borderId="107" xfId="6" applyFont="1" applyFill="1" applyBorder="1" applyAlignment="1">
      <alignment horizontal="center"/>
    </xf>
    <xf numFmtId="0" fontId="7" fillId="16" borderId="108" xfId="0" applyFont="1" applyFill="1" applyBorder="1" applyAlignment="1">
      <alignment horizontal="center"/>
    </xf>
    <xf numFmtId="0" fontId="11" fillId="17" borderId="91" xfId="6" applyFont="1" applyFill="1" applyBorder="1" applyAlignment="1">
      <alignment horizontal="center"/>
    </xf>
    <xf numFmtId="0" fontId="7" fillId="16" borderId="9" xfId="0" applyFont="1" applyFill="1" applyBorder="1"/>
    <xf numFmtId="0" fontId="7" fillId="32" borderId="8" xfId="2" applyFont="1" applyFill="1" applyBorder="1" applyAlignment="1">
      <alignment horizontal="center" vertical="center"/>
    </xf>
    <xf numFmtId="0" fontId="7" fillId="32" borderId="5" xfId="2" applyFont="1" applyFill="1" applyBorder="1" applyAlignment="1">
      <alignment horizontal="center" vertical="center"/>
    </xf>
    <xf numFmtId="0" fontId="7" fillId="32" borderId="11" xfId="8" applyFont="1" applyFill="1" applyBorder="1" applyAlignment="1" applyProtection="1">
      <alignment horizontal="center"/>
      <protection locked="0"/>
    </xf>
    <xf numFmtId="0" fontId="7" fillId="32" borderId="7" xfId="8" applyFont="1" applyFill="1" applyBorder="1" applyAlignment="1" applyProtection="1">
      <alignment horizontal="center"/>
      <protection locked="0"/>
    </xf>
    <xf numFmtId="0" fontId="9" fillId="16" borderId="0" xfId="4" applyFont="1" applyFill="1" applyBorder="1" applyAlignment="1">
      <alignment horizontal="center" vertical="center"/>
    </xf>
    <xf numFmtId="0" fontId="12" fillId="14" borderId="117" xfId="0" applyFont="1" applyFill="1" applyBorder="1" applyAlignment="1">
      <alignment horizontal="center" vertical="center"/>
    </xf>
    <xf numFmtId="0" fontId="13" fillId="17" borderId="105" xfId="0" applyFont="1" applyFill="1" applyBorder="1" applyAlignment="1">
      <alignment horizontal="center" vertical="center"/>
    </xf>
    <xf numFmtId="0" fontId="13" fillId="17" borderId="92" xfId="0" applyFont="1" applyFill="1" applyBorder="1" applyAlignment="1">
      <alignment horizontal="center"/>
    </xf>
    <xf numFmtId="167" fontId="13" fillId="17" borderId="92" xfId="1" applyNumberFormat="1" applyFont="1" applyFill="1" applyBorder="1" applyAlignment="1">
      <alignment horizontal="center" vertical="center"/>
    </xf>
    <xf numFmtId="0" fontId="13" fillId="17" borderId="106" xfId="0" applyFont="1" applyFill="1" applyBorder="1" applyAlignment="1">
      <alignment horizontal="center" vertical="center"/>
    </xf>
    <xf numFmtId="165" fontId="7" fillId="16" borderId="118" xfId="1" applyNumberFormat="1" applyFont="1" applyFill="1" applyBorder="1" applyAlignment="1">
      <alignment horizontal="center"/>
    </xf>
    <xf numFmtId="0" fontId="9" fillId="16" borderId="0" xfId="0" applyFont="1" applyFill="1" applyAlignment="1">
      <alignment horizontal="center" vertical="center"/>
    </xf>
    <xf numFmtId="0" fontId="13" fillId="17" borderId="105" xfId="0" applyFont="1" applyFill="1" applyBorder="1" applyAlignment="1">
      <alignment horizontal="center"/>
    </xf>
    <xf numFmtId="167" fontId="13" fillId="17" borderId="92" xfId="0" applyNumberFormat="1" applyFont="1" applyFill="1" applyBorder="1" applyAlignment="1">
      <alignment horizontal="center"/>
    </xf>
    <xf numFmtId="0" fontId="13" fillId="17" borderId="106" xfId="0" applyFont="1" applyFill="1" applyBorder="1" applyAlignment="1">
      <alignment horizontal="center"/>
    </xf>
    <xf numFmtId="0" fontId="13" fillId="17" borderId="107" xfId="0" applyFont="1" applyFill="1" applyBorder="1" applyAlignment="1">
      <alignment horizontal="center"/>
    </xf>
    <xf numFmtId="0" fontId="13" fillId="17" borderId="81" xfId="0" applyFont="1" applyFill="1" applyBorder="1" applyAlignment="1">
      <alignment horizontal="center"/>
    </xf>
    <xf numFmtId="167" fontId="13" fillId="17" borderId="81" xfId="0" applyNumberFormat="1" applyFont="1" applyFill="1" applyBorder="1" applyAlignment="1">
      <alignment horizontal="center"/>
    </xf>
    <xf numFmtId="0" fontId="13" fillId="17" borderId="108" xfId="0" applyFont="1" applyFill="1" applyBorder="1" applyAlignment="1">
      <alignment horizontal="center"/>
    </xf>
    <xf numFmtId="0" fontId="7" fillId="36" borderId="34" xfId="0" applyFont="1" applyFill="1" applyBorder="1" applyAlignment="1">
      <alignment horizontal="center"/>
    </xf>
    <xf numFmtId="0" fontId="7" fillId="16" borderId="34" xfId="0" applyFont="1" applyFill="1" applyBorder="1" applyAlignment="1">
      <alignment horizontal="center"/>
    </xf>
    <xf numFmtId="0" fontId="7" fillId="16" borderId="118" xfId="0" applyFont="1" applyFill="1" applyBorder="1" applyAlignment="1">
      <alignment horizontal="center"/>
    </xf>
    <xf numFmtId="168" fontId="7" fillId="36" borderId="52" xfId="1" applyNumberFormat="1" applyFont="1" applyFill="1" applyBorder="1" applyAlignment="1">
      <alignment horizontal="center" vertical="center"/>
    </xf>
    <xf numFmtId="0" fontId="7" fillId="36" borderId="52" xfId="0" applyFont="1" applyFill="1" applyBorder="1" applyAlignment="1">
      <alignment horizontal="center" vertical="center"/>
    </xf>
    <xf numFmtId="168" fontId="7" fillId="36" borderId="92" xfId="1" applyNumberFormat="1" applyFont="1" applyFill="1" applyBorder="1" applyAlignment="1">
      <alignment horizontal="center"/>
    </xf>
    <xf numFmtId="168" fontId="7" fillId="36" borderId="36" xfId="1" applyNumberFormat="1" applyFont="1" applyFill="1" applyBorder="1" applyAlignment="1">
      <alignment horizontal="center" vertical="center"/>
    </xf>
    <xf numFmtId="0" fontId="7" fillId="36" borderId="36" xfId="0" applyFont="1" applyFill="1" applyBorder="1" applyAlignment="1">
      <alignment horizontal="center" vertical="center"/>
    </xf>
    <xf numFmtId="168" fontId="7" fillId="16" borderId="92" xfId="1" applyNumberFormat="1" applyFont="1" applyFill="1" applyBorder="1" applyAlignment="1">
      <alignment horizontal="center"/>
    </xf>
    <xf numFmtId="168" fontId="7" fillId="36" borderId="48" xfId="1" applyNumberFormat="1" applyFont="1" applyFill="1" applyBorder="1" applyAlignment="1">
      <alignment horizontal="center" vertical="center"/>
    </xf>
    <xf numFmtId="0" fontId="7" fillId="36" borderId="48" xfId="0" applyFont="1" applyFill="1" applyBorder="1" applyAlignment="1">
      <alignment horizontal="center" vertical="center"/>
    </xf>
    <xf numFmtId="0" fontId="7" fillId="32" borderId="11" xfId="0" applyFont="1" applyFill="1" applyBorder="1"/>
    <xf numFmtId="0" fontId="7" fillId="32" borderId="7" xfId="0" applyFont="1" applyFill="1" applyBorder="1"/>
    <xf numFmtId="168" fontId="7" fillId="36" borderId="76" xfId="1" applyNumberFormat="1" applyFont="1" applyFill="1" applyBorder="1" applyAlignment="1">
      <alignment horizontal="center" vertical="center"/>
    </xf>
    <xf numFmtId="0" fontId="7" fillId="36" borderId="76" xfId="0" applyFont="1" applyFill="1" applyBorder="1" applyAlignment="1">
      <alignment horizontal="center" vertical="center"/>
    </xf>
    <xf numFmtId="168" fontId="7" fillId="16" borderId="81" xfId="1" applyNumberFormat="1" applyFont="1" applyFill="1" applyBorder="1" applyAlignment="1">
      <alignment horizontal="center"/>
    </xf>
    <xf numFmtId="0" fontId="7" fillId="32" borderId="7" xfId="7" applyFont="1" applyFill="1" applyBorder="1"/>
    <xf numFmtId="0" fontId="7" fillId="16" borderId="6" xfId="0" applyFont="1" applyFill="1" applyBorder="1"/>
    <xf numFmtId="0" fontId="7" fillId="16" borderId="11" xfId="0" applyFont="1" applyFill="1" applyBorder="1"/>
    <xf numFmtId="0" fontId="7" fillId="16" borderId="11" xfId="0" applyFont="1" applyFill="1" applyBorder="1" applyAlignment="1">
      <alignment horizontal="center"/>
    </xf>
    <xf numFmtId="0" fontId="7" fillId="16" borderId="7" xfId="0" applyFont="1" applyFill="1" applyBorder="1" applyAlignment="1">
      <alignment horizontal="center"/>
    </xf>
    <xf numFmtId="0" fontId="7" fillId="17" borderId="6" xfId="0" applyFont="1" applyFill="1" applyBorder="1" applyAlignment="1">
      <alignment horizontal="center"/>
    </xf>
    <xf numFmtId="0" fontId="7" fillId="17" borderId="11" xfId="0" applyFont="1" applyFill="1" applyBorder="1" applyAlignment="1">
      <alignment horizontal="center"/>
    </xf>
    <xf numFmtId="0" fontId="7" fillId="17" borderId="7" xfId="0" applyFont="1" applyFill="1" applyBorder="1" applyAlignment="1">
      <alignment horizontal="center"/>
    </xf>
    <xf numFmtId="0" fontId="7" fillId="0" borderId="0" xfId="7" applyFont="1" applyFill="1" applyBorder="1"/>
    <xf numFmtId="0" fontId="15" fillId="0" borderId="0" xfId="9" applyFont="1" applyFill="1" applyBorder="1"/>
    <xf numFmtId="0" fontId="7" fillId="0" borderId="0" xfId="2" applyFont="1" applyFill="1" applyBorder="1" applyAlignment="1">
      <alignment horizontal="center" wrapText="1"/>
    </xf>
    <xf numFmtId="0" fontId="17" fillId="0" borderId="0" xfId="0" applyFont="1" applyAlignment="1">
      <alignment horizontal="center"/>
    </xf>
    <xf numFmtId="0" fontId="9" fillId="0" borderId="0" xfId="0" applyFont="1" applyAlignment="1">
      <alignment horizontal="center"/>
    </xf>
    <xf numFmtId="0" fontId="17" fillId="26" borderId="0" xfId="0" applyFont="1" applyFill="1" applyAlignment="1">
      <alignment horizontal="center"/>
    </xf>
    <xf numFmtId="0" fontId="7" fillId="26" borderId="0" xfId="0" applyFont="1" applyFill="1"/>
    <xf numFmtId="0" fontId="17" fillId="16" borderId="0" xfId="0" applyFont="1" applyFill="1" applyAlignment="1">
      <alignment horizontal="center"/>
    </xf>
    <xf numFmtId="0" fontId="17" fillId="17" borderId="0" xfId="0" applyFont="1" applyFill="1" applyAlignment="1">
      <alignment horizontal="center"/>
    </xf>
    <xf numFmtId="0" fontId="7" fillId="17" borderId="0" xfId="0" applyFont="1" applyFill="1"/>
    <xf numFmtId="0" fontId="11" fillId="29" borderId="34" xfId="0" applyFont="1" applyFill="1" applyBorder="1" applyAlignment="1">
      <alignment horizontal="center" vertical="center"/>
    </xf>
    <xf numFmtId="0" fontId="11" fillId="28" borderId="93" xfId="0" applyFont="1" applyFill="1" applyBorder="1" applyAlignment="1">
      <alignment horizontal="center"/>
    </xf>
    <xf numFmtId="0" fontId="11" fillId="28" borderId="93" xfId="0" applyFont="1" applyFill="1" applyBorder="1" applyAlignment="1">
      <alignment horizontal="center" wrapText="1"/>
    </xf>
    <xf numFmtId="0" fontId="11" fillId="27" borderId="92" xfId="0" applyFont="1" applyFill="1" applyBorder="1" applyAlignment="1">
      <alignment horizontal="center" vertical="center"/>
    </xf>
    <xf numFmtId="0" fontId="10" fillId="17" borderId="0" xfId="0" applyFont="1" applyFill="1" applyAlignment="1">
      <alignment horizontal="center"/>
    </xf>
    <xf numFmtId="10" fontId="11" fillId="17" borderId="35" xfId="0" applyNumberFormat="1" applyFont="1" applyFill="1" applyBorder="1" applyAlignment="1">
      <alignment horizontal="center"/>
    </xf>
    <xf numFmtId="0" fontId="11" fillId="17" borderId="0" xfId="0" applyFont="1" applyFill="1" applyAlignment="1">
      <alignment horizontal="center"/>
    </xf>
    <xf numFmtId="10" fontId="11" fillId="17" borderId="0" xfId="0" applyNumberFormat="1" applyFont="1" applyFill="1" applyAlignment="1">
      <alignment horizontal="center"/>
    </xf>
    <xf numFmtId="0" fontId="11" fillId="17" borderId="36" xfId="0" applyFont="1" applyFill="1" applyBorder="1" applyAlignment="1">
      <alignment horizontal="center"/>
    </xf>
    <xf numFmtId="0" fontId="13" fillId="0" borderId="19" xfId="0" applyFont="1" applyBorder="1" applyAlignment="1" applyProtection="1">
      <alignment horizontal="center"/>
      <protection locked="0"/>
    </xf>
    <xf numFmtId="165" fontId="11" fillId="26" borderId="49" xfId="1" applyNumberFormat="1" applyFont="1" applyFill="1" applyBorder="1" applyAlignment="1">
      <alignment horizontal="center"/>
    </xf>
    <xf numFmtId="165" fontId="11" fillId="16" borderId="92" xfId="1" applyNumberFormat="1" applyFont="1" applyFill="1" applyBorder="1" applyAlignment="1">
      <alignment horizontal="center"/>
    </xf>
    <xf numFmtId="165" fontId="11" fillId="16" borderId="92" xfId="0" applyNumberFormat="1" applyFont="1" applyFill="1" applyBorder="1" applyAlignment="1">
      <alignment horizontal="center"/>
    </xf>
    <xf numFmtId="0" fontId="7" fillId="26" borderId="0" xfId="0" applyFont="1" applyFill="1" applyAlignment="1">
      <alignment horizontal="center"/>
    </xf>
    <xf numFmtId="165" fontId="7" fillId="16" borderId="0" xfId="1" applyNumberFormat="1" applyFont="1" applyFill="1" applyBorder="1" applyAlignment="1">
      <alignment horizontal="center"/>
    </xf>
    <xf numFmtId="165" fontId="7" fillId="17" borderId="0" xfId="1" applyNumberFormat="1" applyFont="1" applyFill="1" applyBorder="1" applyAlignment="1">
      <alignment horizontal="center"/>
    </xf>
    <xf numFmtId="9" fontId="11" fillId="17" borderId="35" xfId="0" applyNumberFormat="1" applyFont="1" applyFill="1" applyBorder="1" applyAlignment="1">
      <alignment horizontal="center"/>
    </xf>
    <xf numFmtId="0" fontId="11" fillId="28" borderId="93" xfId="0" applyFont="1" applyFill="1" applyBorder="1" applyAlignment="1">
      <alignment horizontal="center" vertical="center"/>
    </xf>
    <xf numFmtId="0" fontId="11" fillId="28" borderId="93" xfId="0" applyFont="1" applyFill="1" applyBorder="1" applyAlignment="1">
      <alignment horizontal="center" vertical="center" wrapText="1"/>
    </xf>
    <xf numFmtId="165" fontId="11" fillId="27" borderId="92" xfId="1" applyNumberFormat="1" applyFont="1" applyFill="1" applyBorder="1" applyAlignment="1">
      <alignment horizontal="center" vertical="center"/>
    </xf>
    <xf numFmtId="165" fontId="7" fillId="16" borderId="0" xfId="0" applyNumberFormat="1" applyFont="1" applyFill="1" applyAlignment="1">
      <alignment horizontal="center"/>
    </xf>
    <xf numFmtId="9" fontId="11" fillId="17" borderId="0" xfId="0" applyNumberFormat="1" applyFont="1" applyFill="1" applyAlignment="1">
      <alignment horizontal="center"/>
    </xf>
    <xf numFmtId="9" fontId="11" fillId="17" borderId="44" xfId="0" applyNumberFormat="1" applyFont="1" applyFill="1" applyBorder="1" applyAlignment="1">
      <alignment horizontal="center"/>
    </xf>
    <xf numFmtId="0" fontId="11" fillId="17" borderId="47" xfId="0" applyFont="1" applyFill="1" applyBorder="1" applyAlignment="1">
      <alignment horizontal="center"/>
    </xf>
    <xf numFmtId="9" fontId="11" fillId="17" borderId="47" xfId="0" applyNumberFormat="1" applyFont="1" applyFill="1" applyBorder="1" applyAlignment="1">
      <alignment horizontal="center"/>
    </xf>
    <xf numFmtId="0" fontId="11" fillId="17" borderId="48" xfId="0" applyFont="1" applyFill="1" applyBorder="1" applyAlignment="1">
      <alignment horizontal="center"/>
    </xf>
    <xf numFmtId="9" fontId="7" fillId="17" borderId="0" xfId="0" applyNumberFormat="1" applyFont="1" applyFill="1" applyAlignment="1">
      <alignment horizontal="center"/>
    </xf>
    <xf numFmtId="0" fontId="15" fillId="0" borderId="0" xfId="9" applyFont="1"/>
    <xf numFmtId="0" fontId="11" fillId="0" borderId="0" xfId="0" applyFont="1" applyAlignment="1">
      <alignment horizontal="left" vertical="center"/>
    </xf>
    <xf numFmtId="0" fontId="7" fillId="0" borderId="0" xfId="0" applyFont="1" applyAlignment="1">
      <alignment horizontal="center" vertical="center"/>
    </xf>
    <xf numFmtId="0" fontId="7" fillId="15" borderId="88" xfId="0" applyFont="1" applyFill="1" applyBorder="1"/>
    <xf numFmtId="0" fontId="7" fillId="15" borderId="0" xfId="0" applyFont="1" applyFill="1"/>
    <xf numFmtId="0" fontId="7" fillId="16" borderId="0" xfId="0" applyFont="1" applyFill="1" applyAlignment="1">
      <alignment horizontal="center" vertical="center"/>
    </xf>
    <xf numFmtId="0" fontId="19" fillId="17" borderId="0" xfId="0" applyFont="1" applyFill="1" applyAlignment="1">
      <alignment horizontal="center" vertical="center"/>
    </xf>
    <xf numFmtId="0" fontId="7" fillId="17" borderId="89" xfId="0" applyFont="1" applyFill="1" applyBorder="1"/>
    <xf numFmtId="0" fontId="7" fillId="15" borderId="15" xfId="0" applyFont="1" applyFill="1" applyBorder="1" applyAlignment="1">
      <alignment horizontal="center"/>
    </xf>
    <xf numFmtId="0" fontId="7" fillId="17" borderId="16" xfId="0" applyFont="1" applyFill="1" applyBorder="1"/>
    <xf numFmtId="0" fontId="11" fillId="12" borderId="90" xfId="0" applyFont="1" applyFill="1" applyBorder="1" applyAlignment="1">
      <alignment horizontal="center"/>
    </xf>
    <xf numFmtId="0" fontId="7" fillId="11" borderId="91" xfId="0" applyFont="1" applyFill="1" applyBorder="1" applyAlignment="1">
      <alignment horizontal="center"/>
    </xf>
    <xf numFmtId="0" fontId="20" fillId="0" borderId="19" xfId="0" applyFont="1" applyBorder="1" applyAlignment="1">
      <alignment horizontal="center" vertical="center"/>
    </xf>
    <xf numFmtId="0" fontId="10" fillId="18" borderId="92" xfId="0" applyFont="1" applyFill="1" applyBorder="1" applyAlignment="1">
      <alignment horizontal="center" vertical="center"/>
    </xf>
    <xf numFmtId="0" fontId="22" fillId="13" borderId="92" xfId="0" applyFont="1" applyFill="1" applyBorder="1" applyAlignment="1">
      <alignment horizontal="left" vertical="center" readingOrder="1"/>
    </xf>
    <xf numFmtId="9" fontId="7" fillId="13" borderId="92" xfId="1" applyFont="1" applyFill="1" applyBorder="1" applyAlignment="1">
      <alignment horizontal="center" vertical="center"/>
    </xf>
    <xf numFmtId="0" fontId="7" fillId="13" borderId="92" xfId="0" applyFont="1" applyFill="1" applyBorder="1" applyAlignment="1">
      <alignment horizontal="center" vertical="center"/>
    </xf>
    <xf numFmtId="9" fontId="7" fillId="20" borderId="32" xfId="1" applyFont="1" applyFill="1" applyBorder="1" applyAlignment="1">
      <alignment horizontal="center" vertical="center"/>
    </xf>
    <xf numFmtId="0" fontId="7" fillId="20" borderId="33" xfId="0" applyFont="1" applyFill="1" applyBorder="1" applyAlignment="1">
      <alignment horizontal="center" vertical="center"/>
    </xf>
    <xf numFmtId="9" fontId="7" fillId="20" borderId="34" xfId="1" applyFont="1" applyFill="1" applyBorder="1" applyAlignment="1">
      <alignment horizontal="center" vertical="center"/>
    </xf>
    <xf numFmtId="0" fontId="7" fillId="20" borderId="92" xfId="0" applyFont="1" applyFill="1" applyBorder="1" applyAlignment="1">
      <alignment horizontal="center" vertical="center"/>
    </xf>
    <xf numFmtId="0" fontId="16" fillId="15" borderId="0" xfId="0" applyFont="1" applyFill="1" applyAlignment="1">
      <alignment horizontal="center" vertical="center" wrapText="1"/>
    </xf>
    <xf numFmtId="0" fontId="10" fillId="18" borderId="92" xfId="0" applyFont="1" applyFill="1" applyBorder="1" applyAlignment="1">
      <alignment horizontal="center" vertical="center" wrapText="1"/>
    </xf>
    <xf numFmtId="164" fontId="11" fillId="21" borderId="92" xfId="0" applyNumberFormat="1" applyFont="1" applyFill="1" applyBorder="1" applyAlignment="1">
      <alignment horizontal="center" vertical="center"/>
    </xf>
    <xf numFmtId="0" fontId="7" fillId="15" borderId="0" xfId="0" applyFont="1" applyFill="1" applyAlignment="1">
      <alignment horizontal="center"/>
    </xf>
    <xf numFmtId="0" fontId="7" fillId="15" borderId="94" xfId="0" applyFont="1" applyFill="1" applyBorder="1"/>
    <xf numFmtId="0" fontId="20" fillId="15" borderId="0" xfId="0" applyFont="1" applyFill="1" applyAlignment="1">
      <alignment horizontal="center" vertical="center"/>
    </xf>
    <xf numFmtId="0" fontId="7" fillId="15" borderId="17" xfId="0" applyFont="1" applyFill="1" applyBorder="1" applyAlignment="1">
      <alignment horizontal="center"/>
    </xf>
    <xf numFmtId="0" fontId="7" fillId="15" borderId="12" xfId="0" applyFont="1" applyFill="1" applyBorder="1"/>
    <xf numFmtId="0" fontId="25" fillId="15" borderId="12" xfId="0" applyFont="1" applyFill="1" applyBorder="1"/>
    <xf numFmtId="0" fontId="26" fillId="15" borderId="12" xfId="0" applyFont="1" applyFill="1" applyBorder="1"/>
    <xf numFmtId="0" fontId="7" fillId="16" borderId="12" xfId="0" applyFont="1" applyFill="1" applyBorder="1"/>
    <xf numFmtId="0" fontId="7" fillId="16" borderId="12" xfId="0" applyFont="1" applyFill="1" applyBorder="1" applyAlignment="1">
      <alignment horizontal="center" vertical="center"/>
    </xf>
    <xf numFmtId="0" fontId="7" fillId="17" borderId="12" xfId="0" applyFont="1" applyFill="1" applyBorder="1"/>
    <xf numFmtId="0" fontId="7" fillId="17" borderId="18" xfId="0" applyFont="1" applyFill="1" applyBorder="1"/>
    <xf numFmtId="0" fontId="7" fillId="0" borderId="0" xfId="0" applyFont="1" applyAlignment="1">
      <alignment horizontal="left"/>
    </xf>
    <xf numFmtId="0" fontId="7" fillId="7" borderId="35" xfId="7" applyFont="1" applyBorder="1"/>
    <xf numFmtId="0" fontId="7" fillId="7" borderId="36" xfId="7" applyFont="1" applyBorder="1"/>
    <xf numFmtId="0" fontId="7" fillId="6" borderId="35" xfId="6" applyFont="1" applyBorder="1"/>
    <xf numFmtId="0" fontId="7" fillId="6" borderId="0" xfId="6" applyFont="1" applyBorder="1"/>
    <xf numFmtId="0" fontId="7" fillId="6" borderId="36" xfId="6" applyFont="1" applyBorder="1"/>
    <xf numFmtId="0" fontId="7" fillId="6" borderId="0" xfId="6" applyFont="1"/>
    <xf numFmtId="0" fontId="7" fillId="4" borderId="4" xfId="4" applyFont="1" applyBorder="1" applyAlignment="1">
      <alignment horizontal="center" vertical="center"/>
    </xf>
    <xf numFmtId="0" fontId="7" fillId="4" borderId="8" xfId="4" applyFont="1" applyBorder="1" applyAlignment="1">
      <alignment horizontal="center" vertical="center"/>
    </xf>
    <xf numFmtId="0" fontId="7" fillId="4" borderId="5" xfId="4" applyFont="1" applyBorder="1" applyAlignment="1">
      <alignment horizontal="center" vertical="center"/>
    </xf>
    <xf numFmtId="0" fontId="7" fillId="6" borderId="9" xfId="6" applyFont="1" applyBorder="1" applyAlignment="1">
      <alignment horizontal="center" vertical="center"/>
    </xf>
    <xf numFmtId="0" fontId="7" fillId="6" borderId="0" xfId="6" applyFont="1" applyBorder="1" applyAlignment="1">
      <alignment horizontal="center" vertical="center"/>
    </xf>
    <xf numFmtId="0" fontId="7" fillId="6" borderId="10" xfId="6" applyFont="1" applyBorder="1" applyAlignment="1">
      <alignment horizontal="center" vertical="center"/>
    </xf>
    <xf numFmtId="0" fontId="7" fillId="6" borderId="6" xfId="6" applyFont="1" applyBorder="1" applyAlignment="1">
      <alignment horizontal="center" vertical="center"/>
    </xf>
    <xf numFmtId="0" fontId="7" fillId="6" borderId="11" xfId="6" applyFont="1" applyBorder="1" applyAlignment="1">
      <alignment horizontal="center" vertical="center"/>
    </xf>
    <xf numFmtId="0" fontId="7" fillId="6" borderId="7" xfId="6" applyFont="1" applyBorder="1" applyAlignment="1">
      <alignment horizontal="center" vertical="center"/>
    </xf>
    <xf numFmtId="0" fontId="7" fillId="4" borderId="13" xfId="4" applyFont="1" applyBorder="1" applyAlignment="1">
      <alignment horizontal="center" vertical="center"/>
    </xf>
    <xf numFmtId="0" fontId="7" fillId="4" borderId="24" xfId="4" applyFont="1" applyBorder="1" applyAlignment="1">
      <alignment horizontal="center" vertical="center"/>
    </xf>
    <xf numFmtId="0" fontId="7" fillId="4" borderId="14" xfId="4" applyFont="1" applyBorder="1" applyAlignment="1">
      <alignment horizontal="center" vertical="center"/>
    </xf>
    <xf numFmtId="0" fontId="7" fillId="23" borderId="0" xfId="0" applyFont="1" applyFill="1"/>
    <xf numFmtId="0" fontId="7" fillId="6" borderId="49" xfId="6" applyFont="1" applyBorder="1" applyAlignment="1">
      <alignment horizontal="center"/>
    </xf>
    <xf numFmtId="10" fontId="7" fillId="6" borderId="49" xfId="1" applyNumberFormat="1" applyFont="1" applyFill="1" applyBorder="1" applyAlignment="1">
      <alignment horizontal="center"/>
    </xf>
    <xf numFmtId="0" fontId="7" fillId="23" borderId="19" xfId="3" applyFont="1" applyFill="1" applyBorder="1" applyAlignment="1" applyProtection="1">
      <alignment horizontal="center" vertical="center"/>
      <protection locked="0"/>
    </xf>
    <xf numFmtId="0" fontId="7" fillId="7" borderId="48" xfId="7" applyFont="1" applyBorder="1"/>
    <xf numFmtId="0" fontId="7" fillId="6" borderId="44" xfId="6" applyFont="1" applyBorder="1"/>
    <xf numFmtId="0" fontId="7" fillId="6" borderId="47" xfId="6" applyFont="1" applyBorder="1"/>
    <xf numFmtId="0" fontId="7" fillId="6" borderId="48" xfId="6" applyFont="1" applyBorder="1"/>
    <xf numFmtId="0" fontId="27" fillId="2" borderId="33" xfId="2" applyFont="1" applyBorder="1" applyAlignment="1">
      <alignment horizontal="center"/>
    </xf>
    <xf numFmtId="0" fontId="7" fillId="5" borderId="36" xfId="5" applyFont="1" applyBorder="1" applyAlignment="1">
      <alignment horizontal="center"/>
    </xf>
    <xf numFmtId="0" fontId="7" fillId="4" borderId="32" xfId="4" applyFont="1" applyBorder="1" applyAlignment="1">
      <alignment horizontal="center"/>
    </xf>
    <xf numFmtId="0" fontId="7" fillId="4" borderId="33" xfId="4" applyFont="1" applyBorder="1" applyAlignment="1">
      <alignment horizontal="center"/>
    </xf>
    <xf numFmtId="0" fontId="7" fillId="4" borderId="34" xfId="4" applyFont="1" applyBorder="1" applyAlignment="1">
      <alignment horizontal="center"/>
    </xf>
    <xf numFmtId="0" fontId="7" fillId="6" borderId="35" xfId="6" applyFont="1" applyBorder="1" applyAlignment="1">
      <alignment horizontal="center"/>
    </xf>
    <xf numFmtId="0" fontId="7" fillId="6" borderId="36" xfId="6" applyFont="1" applyBorder="1" applyAlignment="1">
      <alignment horizontal="center"/>
    </xf>
    <xf numFmtId="0" fontId="7" fillId="23" borderId="39" xfId="3" applyFont="1" applyFill="1" applyBorder="1" applyAlignment="1">
      <alignment horizontal="center"/>
    </xf>
    <xf numFmtId="0" fontId="7" fillId="23" borderId="19" xfId="3" applyFont="1" applyFill="1" applyBorder="1" applyAlignment="1">
      <alignment horizontal="center"/>
    </xf>
    <xf numFmtId="0" fontId="7" fillId="6" borderId="44" xfId="6" applyFont="1" applyBorder="1" applyAlignment="1">
      <alignment horizontal="center"/>
    </xf>
    <xf numFmtId="0" fontId="7" fillId="6" borderId="47" xfId="6" applyFont="1" applyBorder="1" applyAlignment="1">
      <alignment horizontal="center"/>
    </xf>
    <xf numFmtId="0" fontId="7" fillId="6" borderId="48" xfId="6" applyFont="1" applyBorder="1" applyAlignment="1">
      <alignment horizontal="center"/>
    </xf>
    <xf numFmtId="0" fontId="7" fillId="6" borderId="50" xfId="6" applyFont="1" applyBorder="1" applyAlignment="1">
      <alignment horizontal="center"/>
    </xf>
    <xf numFmtId="0" fontId="7" fillId="6" borderId="51" xfId="6" applyFont="1" applyBorder="1" applyAlignment="1">
      <alignment horizontal="center"/>
    </xf>
    <xf numFmtId="0" fontId="7" fillId="6" borderId="52" xfId="6" applyFont="1" applyBorder="1" applyAlignment="1">
      <alignment horizontal="center"/>
    </xf>
    <xf numFmtId="0" fontId="7" fillId="5" borderId="22" xfId="5" applyFont="1" applyBorder="1" applyAlignment="1">
      <alignment horizontal="center"/>
    </xf>
    <xf numFmtId="0" fontId="7" fillId="23" borderId="23" xfId="3" applyFont="1" applyFill="1" applyBorder="1" applyAlignment="1">
      <alignment horizontal="center"/>
    </xf>
    <xf numFmtId="0" fontId="7" fillId="5" borderId="35" xfId="5" applyFont="1" applyBorder="1"/>
    <xf numFmtId="0" fontId="7" fillId="5" borderId="0" xfId="5" applyFont="1" applyBorder="1"/>
    <xf numFmtId="0" fontId="7" fillId="5" borderId="36" xfId="5" applyFont="1" applyBorder="1"/>
    <xf numFmtId="0" fontId="7" fillId="4" borderId="32" xfId="4" applyFont="1" applyBorder="1" applyAlignment="1">
      <alignment horizontal="center" vertical="center"/>
    </xf>
    <xf numFmtId="0" fontId="7" fillId="4" borderId="33" xfId="4" applyFont="1" applyBorder="1" applyAlignment="1">
      <alignment horizontal="center" vertical="center"/>
    </xf>
    <xf numFmtId="0" fontId="7" fillId="4" borderId="34" xfId="4" applyFont="1" applyBorder="1" applyAlignment="1">
      <alignment horizontal="center" vertical="center"/>
    </xf>
    <xf numFmtId="0" fontId="7" fillId="6" borderId="35" xfId="6" applyFont="1" applyBorder="1" applyAlignment="1">
      <alignment horizontal="center" vertical="center"/>
    </xf>
    <xf numFmtId="0" fontId="7" fillId="6" borderId="36" xfId="6" applyFont="1" applyBorder="1" applyAlignment="1">
      <alignment horizontal="center" vertical="center"/>
    </xf>
    <xf numFmtId="0" fontId="7" fillId="5" borderId="49" xfId="5" applyFont="1" applyBorder="1" applyAlignment="1">
      <alignment horizontal="center"/>
    </xf>
    <xf numFmtId="0" fontId="7" fillId="6" borderId="44" xfId="6" applyFont="1" applyBorder="1" applyAlignment="1">
      <alignment horizontal="center" vertical="center"/>
    </xf>
    <xf numFmtId="0" fontId="7" fillId="6" borderId="47" xfId="6" applyFont="1" applyBorder="1" applyAlignment="1">
      <alignment horizontal="center" vertical="center"/>
    </xf>
    <xf numFmtId="0" fontId="7" fillId="6" borderId="48" xfId="6" applyFont="1" applyBorder="1" applyAlignment="1">
      <alignment horizontal="center" vertical="center"/>
    </xf>
    <xf numFmtId="0" fontId="7" fillId="5" borderId="0" xfId="5" applyFont="1"/>
    <xf numFmtId="0" fontId="7" fillId="5" borderId="0" xfId="5" applyFont="1" applyBorder="1" applyAlignment="1">
      <alignment horizontal="left" vertical="center" indent="1"/>
    </xf>
    <xf numFmtId="0" fontId="7" fillId="5" borderId="0" xfId="5" applyNumberFormat="1" applyFont="1" applyBorder="1"/>
    <xf numFmtId="0" fontId="7" fillId="5" borderId="0" xfId="5" applyFont="1" applyBorder="1" applyAlignment="1">
      <alignment horizontal="left" vertical="center" indent="2"/>
    </xf>
    <xf numFmtId="0" fontId="7" fillId="23" borderId="39" xfId="3" applyFont="1" applyFill="1" applyBorder="1" applyAlignment="1">
      <alignment horizontal="center" vertical="center"/>
    </xf>
    <xf numFmtId="0" fontId="7" fillId="23" borderId="19" xfId="3" applyFont="1" applyFill="1" applyBorder="1" applyAlignment="1">
      <alignment horizontal="center" vertical="center"/>
    </xf>
    <xf numFmtId="0" fontId="11" fillId="4" borderId="4" xfId="4" applyFont="1" applyBorder="1" applyAlignment="1">
      <alignment horizontal="center" vertical="center"/>
    </xf>
    <xf numFmtId="0" fontId="11" fillId="4" borderId="8" xfId="4" applyFont="1" applyBorder="1" applyAlignment="1">
      <alignment horizontal="center" vertical="center"/>
    </xf>
    <xf numFmtId="0" fontId="11" fillId="4" borderId="5" xfId="4" applyFont="1" applyBorder="1" applyAlignment="1">
      <alignment horizontal="center" vertical="center"/>
    </xf>
    <xf numFmtId="0" fontId="9" fillId="6" borderId="49" xfId="6" applyFont="1" applyBorder="1" applyAlignment="1">
      <alignment horizontal="center"/>
    </xf>
    <xf numFmtId="165" fontId="9" fillId="6" borderId="49" xfId="1" applyNumberFormat="1" applyFont="1" applyFill="1" applyBorder="1" applyAlignment="1">
      <alignment horizontal="center"/>
    </xf>
    <xf numFmtId="0" fontId="10" fillId="4" borderId="80" xfId="4" applyFont="1" applyBorder="1" applyAlignment="1">
      <alignment horizontal="center"/>
    </xf>
    <xf numFmtId="0" fontId="7" fillId="5" borderId="35" xfId="5" applyFont="1" applyBorder="1" applyAlignment="1">
      <alignment horizontal="center" vertical="center"/>
    </xf>
    <xf numFmtId="0" fontId="7" fillId="5" borderId="16" xfId="5" applyFont="1" applyBorder="1" applyAlignment="1">
      <alignment horizontal="center" vertical="center"/>
    </xf>
    <xf numFmtId="0" fontId="7" fillId="5" borderId="15" xfId="5" applyFont="1" applyBorder="1" applyAlignment="1">
      <alignment horizontal="center" vertical="center"/>
    </xf>
    <xf numFmtId="0" fontId="7" fillId="5" borderId="47" xfId="5" applyFont="1" applyBorder="1"/>
    <xf numFmtId="0" fontId="7" fillId="5" borderId="48" xfId="5" applyFont="1" applyBorder="1"/>
    <xf numFmtId="0" fontId="7" fillId="0" borderId="0" xfId="0" applyFont="1" applyAlignment="1">
      <alignment horizontal="left" vertical="center" indent="1"/>
    </xf>
    <xf numFmtId="0" fontId="7" fillId="0" borderId="0" xfId="0" applyFont="1" applyAlignment="1">
      <alignment horizontal="left" vertical="center" indent="2"/>
    </xf>
    <xf numFmtId="0" fontId="28" fillId="24" borderId="27" xfId="12" applyFont="1" applyBorder="1" applyAlignment="1">
      <alignment horizontal="center" vertical="center"/>
    </xf>
    <xf numFmtId="0" fontId="11" fillId="0" borderId="19" xfId="0" applyFont="1" applyBorder="1" applyAlignment="1" applyProtection="1">
      <alignment horizontal="center"/>
      <protection locked="0"/>
    </xf>
    <xf numFmtId="166" fontId="7" fillId="0" borderId="0" xfId="0" applyNumberFormat="1" applyFont="1" applyAlignment="1">
      <alignment horizontal="center" vertical="center"/>
    </xf>
    <xf numFmtId="0" fontId="9" fillId="2" borderId="51" xfId="2" applyFont="1" applyBorder="1" applyAlignment="1">
      <alignment horizontal="center"/>
    </xf>
    <xf numFmtId="0" fontId="10" fillId="2" borderId="82" xfId="2" applyFont="1" applyBorder="1" applyAlignment="1">
      <alignment horizontal="center"/>
    </xf>
    <xf numFmtId="0" fontId="10" fillId="2" borderId="24" xfId="2" applyFont="1" applyBorder="1" applyAlignment="1">
      <alignment horizontal="center"/>
    </xf>
    <xf numFmtId="0" fontId="10" fillId="2" borderId="87" xfId="2" applyFont="1" applyBorder="1" applyAlignment="1">
      <alignment horizontal="center"/>
    </xf>
    <xf numFmtId="0" fontId="10" fillId="2" borderId="83" xfId="2" applyFont="1" applyBorder="1" applyAlignment="1">
      <alignment horizontal="center"/>
    </xf>
    <xf numFmtId="0" fontId="7" fillId="9" borderId="0" xfId="10" applyFont="1" applyBorder="1" applyAlignment="1"/>
    <xf numFmtId="0" fontId="7" fillId="9" borderId="0" xfId="10" applyFont="1" applyBorder="1" applyAlignment="1">
      <alignment horizontal="center" vertical="center"/>
    </xf>
    <xf numFmtId="0" fontId="7" fillId="9" borderId="0" xfId="10" applyFont="1" applyBorder="1"/>
    <xf numFmtId="0" fontId="7" fillId="9" borderId="36" xfId="10" applyFont="1" applyBorder="1"/>
    <xf numFmtId="0" fontId="7" fillId="23" borderId="19" xfId="7" applyFont="1" applyFill="1" applyBorder="1" applyAlignment="1" applyProtection="1">
      <alignment horizontal="center"/>
      <protection locked="0"/>
    </xf>
    <xf numFmtId="10" fontId="7" fillId="23" borderId="19" xfId="1" applyNumberFormat="1" applyFont="1" applyFill="1" applyBorder="1" applyAlignment="1" applyProtection="1">
      <alignment horizontal="center"/>
      <protection locked="0"/>
    </xf>
    <xf numFmtId="10" fontId="7" fillId="7" borderId="16" xfId="7" applyNumberFormat="1" applyFont="1" applyBorder="1" applyAlignment="1">
      <alignment horizontal="center"/>
    </xf>
    <xf numFmtId="0" fontId="7" fillId="7" borderId="12" xfId="7" applyFont="1" applyBorder="1" applyAlignment="1">
      <alignment horizontal="center"/>
    </xf>
    <xf numFmtId="0" fontId="7" fillId="7" borderId="18" xfId="7" applyFont="1" applyBorder="1" applyAlignment="1">
      <alignment horizontal="center"/>
    </xf>
    <xf numFmtId="2" fontId="10" fillId="7" borderId="0" xfId="7" quotePrefix="1" applyNumberFormat="1" applyFont="1" applyBorder="1" applyAlignment="1">
      <alignment horizontal="center"/>
    </xf>
    <xf numFmtId="0" fontId="10" fillId="7" borderId="16" xfId="7" applyFont="1" applyBorder="1" applyAlignment="1">
      <alignment horizontal="center"/>
    </xf>
    <xf numFmtId="165" fontId="7" fillId="7" borderId="16" xfId="7" applyNumberFormat="1" applyFont="1" applyBorder="1" applyAlignment="1">
      <alignment horizontal="center"/>
    </xf>
    <xf numFmtId="0" fontId="7" fillId="23" borderId="19" xfId="3" applyFont="1" applyFill="1" applyBorder="1" applyAlignment="1" applyProtection="1">
      <alignment horizontal="center"/>
      <protection locked="0"/>
    </xf>
    <xf numFmtId="10" fontId="7" fillId="23" borderId="100" xfId="3" applyNumberFormat="1" applyFont="1" applyFill="1" applyBorder="1" applyAlignment="1" applyProtection="1">
      <alignment horizontal="center"/>
      <protection locked="0"/>
    </xf>
    <xf numFmtId="0" fontId="10" fillId="7" borderId="0" xfId="7" applyFont="1" applyBorder="1" applyAlignment="1">
      <alignment horizontal="center"/>
    </xf>
    <xf numFmtId="10" fontId="7" fillId="9" borderId="36" xfId="10" applyNumberFormat="1" applyFont="1" applyBorder="1"/>
    <xf numFmtId="0" fontId="7" fillId="7" borderId="17" xfId="7" applyFont="1" applyBorder="1" applyAlignment="1">
      <alignment horizontal="center"/>
    </xf>
    <xf numFmtId="165" fontId="7" fillId="7" borderId="18" xfId="1" applyNumberFormat="1" applyFont="1" applyFill="1" applyBorder="1" applyAlignment="1">
      <alignment horizontal="center"/>
    </xf>
    <xf numFmtId="9" fontId="7" fillId="23" borderId="19" xfId="3" applyNumberFormat="1" applyFont="1" applyFill="1" applyBorder="1" applyAlignment="1" applyProtection="1">
      <alignment horizontal="center"/>
      <protection locked="0"/>
    </xf>
    <xf numFmtId="0" fontId="7" fillId="7" borderId="0" xfId="7" applyFont="1" applyBorder="1" applyAlignment="1" applyProtection="1">
      <alignment horizontal="center"/>
      <protection locked="0"/>
    </xf>
    <xf numFmtId="9" fontId="10" fillId="7" borderId="0" xfId="7" applyNumberFormat="1" applyFont="1" applyBorder="1" applyAlignment="1" applyProtection="1">
      <alignment horizontal="center"/>
    </xf>
    <xf numFmtId="10" fontId="10" fillId="7" borderId="16" xfId="7" applyNumberFormat="1" applyFont="1" applyBorder="1" applyAlignment="1">
      <alignment horizontal="center"/>
    </xf>
    <xf numFmtId="0" fontId="7" fillId="7" borderId="12" xfId="7" applyFont="1" applyBorder="1" applyAlignment="1" applyProtection="1">
      <alignment horizontal="center"/>
      <protection locked="0"/>
    </xf>
    <xf numFmtId="0" fontId="10" fillId="2" borderId="0" xfId="2" applyFont="1" applyBorder="1" applyAlignment="1">
      <alignment horizontal="center"/>
    </xf>
    <xf numFmtId="9" fontId="10" fillId="2" borderId="0" xfId="2" applyNumberFormat="1" applyFont="1" applyBorder="1" applyAlignment="1">
      <alignment horizontal="center"/>
    </xf>
    <xf numFmtId="10" fontId="10" fillId="2" borderId="0" xfId="2" applyNumberFormat="1" applyFont="1" applyBorder="1" applyAlignment="1">
      <alignment horizontal="center"/>
    </xf>
    <xf numFmtId="0" fontId="10" fillId="2" borderId="13" xfId="2" applyFont="1" applyBorder="1" applyAlignment="1">
      <alignment horizontal="center"/>
    </xf>
    <xf numFmtId="0" fontId="10" fillId="2" borderId="14" xfId="2" applyFont="1" applyBorder="1" applyAlignment="1">
      <alignment horizontal="center"/>
    </xf>
    <xf numFmtId="2" fontId="7" fillId="7" borderId="0" xfId="7" applyNumberFormat="1" applyFont="1" applyBorder="1" applyAlignment="1">
      <alignment horizontal="center"/>
    </xf>
    <xf numFmtId="0" fontId="10" fillId="4" borderId="34" xfId="4" applyFont="1" applyBorder="1" applyAlignment="1">
      <alignment horizontal="center" vertical="center"/>
    </xf>
    <xf numFmtId="9" fontId="7" fillId="6" borderId="0" xfId="6" applyNumberFormat="1" applyFont="1" applyBorder="1" applyAlignment="1">
      <alignment horizontal="center" vertical="center"/>
    </xf>
    <xf numFmtId="9" fontId="7" fillId="6" borderId="35" xfId="6" applyNumberFormat="1" applyFont="1" applyBorder="1" applyAlignment="1">
      <alignment horizontal="center" vertical="center"/>
    </xf>
    <xf numFmtId="9" fontId="7" fillId="6" borderId="44" xfId="6" applyNumberFormat="1" applyFont="1" applyBorder="1" applyAlignment="1">
      <alignment horizontal="center" vertical="center"/>
    </xf>
    <xf numFmtId="9" fontId="7" fillId="6" borderId="47" xfId="6" applyNumberFormat="1" applyFont="1" applyBorder="1" applyAlignment="1">
      <alignment horizontal="center" vertical="center"/>
    </xf>
    <xf numFmtId="0" fontId="7" fillId="10" borderId="32" xfId="11" applyFont="1" applyBorder="1" applyAlignment="1">
      <alignment horizontal="center" vertical="center"/>
    </xf>
    <xf numFmtId="0" fontId="7" fillId="10" borderId="33" xfId="11" applyFont="1" applyBorder="1" applyAlignment="1">
      <alignment horizontal="center" vertical="center"/>
    </xf>
    <xf numFmtId="0" fontId="7" fillId="10" borderId="34" xfId="11" applyFont="1" applyBorder="1" applyAlignment="1">
      <alignment horizontal="center" vertical="center"/>
    </xf>
    <xf numFmtId="0" fontId="7" fillId="9" borderId="32" xfId="10" applyFont="1" applyBorder="1" applyAlignment="1">
      <alignment horizontal="center" vertical="center"/>
    </xf>
    <xf numFmtId="0" fontId="7" fillId="9" borderId="33" xfId="10" applyFont="1" applyBorder="1"/>
    <xf numFmtId="0" fontId="7" fillId="9" borderId="33" xfId="10" applyFont="1" applyBorder="1" applyAlignment="1">
      <alignment horizontal="center" vertical="center"/>
    </xf>
    <xf numFmtId="0" fontId="7" fillId="9" borderId="34" xfId="10" applyFont="1" applyBorder="1" applyAlignment="1">
      <alignment horizontal="center" vertical="center"/>
    </xf>
    <xf numFmtId="165" fontId="7" fillId="6" borderId="0" xfId="6" applyNumberFormat="1" applyFont="1" applyBorder="1" applyAlignment="1">
      <alignment horizontal="center" vertical="center"/>
    </xf>
    <xf numFmtId="0" fontId="7" fillId="9" borderId="35" xfId="10" applyFont="1" applyBorder="1" applyAlignment="1">
      <alignment horizontal="center" vertical="center"/>
    </xf>
    <xf numFmtId="0" fontId="7" fillId="9" borderId="36" xfId="10" applyFont="1" applyBorder="1" applyAlignment="1">
      <alignment horizontal="center" vertical="center"/>
    </xf>
    <xf numFmtId="9" fontId="7" fillId="6" borderId="92" xfId="1" applyFont="1" applyFill="1" applyBorder="1" applyAlignment="1">
      <alignment horizontal="center" vertical="center"/>
    </xf>
    <xf numFmtId="165" fontId="7" fillId="0" borderId="0" xfId="1" applyNumberFormat="1" applyFont="1"/>
    <xf numFmtId="0" fontId="7" fillId="9" borderId="1" xfId="10" applyFont="1" applyBorder="1" applyAlignment="1">
      <alignment horizontal="center" vertical="center"/>
    </xf>
    <xf numFmtId="0" fontId="7" fillId="9" borderId="3" xfId="10" applyFont="1" applyBorder="1" applyAlignment="1">
      <alignment horizontal="center" vertical="center"/>
    </xf>
    <xf numFmtId="0" fontId="7" fillId="9" borderId="2" xfId="10" applyFont="1" applyBorder="1" applyAlignment="1">
      <alignment horizontal="center" vertical="center"/>
    </xf>
    <xf numFmtId="0" fontId="7" fillId="20" borderId="0" xfId="6" applyFont="1" applyFill="1" applyBorder="1"/>
    <xf numFmtId="165" fontId="9" fillId="4" borderId="117" xfId="4" applyNumberFormat="1" applyFont="1" applyBorder="1" applyAlignment="1">
      <alignment horizontal="center" vertical="center"/>
    </xf>
    <xf numFmtId="0" fontId="9" fillId="4" borderId="108" xfId="4" applyFont="1" applyBorder="1" applyAlignment="1">
      <alignment horizontal="center" vertical="center"/>
    </xf>
    <xf numFmtId="0" fontId="7" fillId="9" borderId="47" xfId="10" applyFont="1" applyBorder="1"/>
    <xf numFmtId="0" fontId="7" fillId="9" borderId="47" xfId="10" applyFont="1" applyBorder="1" applyAlignment="1">
      <alignment horizontal="center" vertical="center"/>
    </xf>
    <xf numFmtId="0" fontId="7" fillId="9" borderId="48" xfId="10" applyFont="1" applyBorder="1"/>
    <xf numFmtId="0" fontId="7" fillId="2" borderId="103" xfId="2" applyFont="1" applyBorder="1" applyAlignment="1">
      <alignment horizontal="center"/>
    </xf>
    <xf numFmtId="0" fontId="13" fillId="6" borderId="11" xfId="6" applyFont="1" applyBorder="1" applyAlignment="1"/>
    <xf numFmtId="0" fontId="7" fillId="6" borderId="11" xfId="6" applyFont="1" applyBorder="1" applyAlignment="1"/>
    <xf numFmtId="0" fontId="7" fillId="4" borderId="80" xfId="4" applyFont="1" applyBorder="1" applyAlignment="1">
      <alignment horizontal="center" vertical="center"/>
    </xf>
    <xf numFmtId="0" fontId="7" fillId="6" borderId="98" xfId="6" applyFont="1" applyBorder="1" applyAlignment="1">
      <alignment horizontal="center"/>
    </xf>
    <xf numFmtId="0" fontId="7" fillId="6" borderId="97" xfId="6" applyFont="1" applyBorder="1" applyAlignment="1">
      <alignment horizontal="center"/>
    </xf>
    <xf numFmtId="0" fontId="7" fillId="7" borderId="44" xfId="7" applyFont="1" applyBorder="1"/>
    <xf numFmtId="0" fontId="7" fillId="7" borderId="47" xfId="7" applyFont="1" applyBorder="1"/>
    <xf numFmtId="0" fontId="7" fillId="9" borderId="35" xfId="10" applyFont="1" applyBorder="1"/>
    <xf numFmtId="0" fontId="7" fillId="7" borderId="42" xfId="7" applyFont="1" applyBorder="1" applyAlignment="1">
      <alignment horizontal="center" vertical="center"/>
    </xf>
    <xf numFmtId="0" fontId="7" fillId="7" borderId="3" xfId="7" applyFont="1" applyBorder="1" applyAlignment="1">
      <alignment horizontal="center" vertical="center"/>
    </xf>
    <xf numFmtId="0" fontId="7" fillId="7" borderId="74" xfId="7" applyFont="1" applyBorder="1" applyAlignment="1">
      <alignment horizontal="center" vertical="center"/>
    </xf>
    <xf numFmtId="0" fontId="7" fillId="7" borderId="37" xfId="7" applyFont="1" applyBorder="1" applyAlignment="1">
      <alignment horizontal="center" vertical="center"/>
    </xf>
    <xf numFmtId="0" fontId="7" fillId="23" borderId="71" xfId="3" applyFont="1" applyFill="1" applyBorder="1" applyAlignment="1" applyProtection="1">
      <alignment horizontal="center" vertical="center"/>
      <protection locked="0"/>
    </xf>
    <xf numFmtId="0" fontId="7" fillId="7" borderId="8" xfId="7" applyFont="1" applyBorder="1" applyAlignment="1">
      <alignment horizontal="center" vertical="center"/>
    </xf>
    <xf numFmtId="164" fontId="7" fillId="7" borderId="73" xfId="7" applyNumberFormat="1" applyFont="1" applyBorder="1" applyAlignment="1">
      <alignment horizontal="center" vertical="center"/>
    </xf>
    <xf numFmtId="0" fontId="10" fillId="9" borderId="1" xfId="10" applyFont="1" applyBorder="1" applyAlignment="1">
      <alignment horizontal="center" vertical="center"/>
    </xf>
    <xf numFmtId="164" fontId="7" fillId="9" borderId="2" xfId="10" applyNumberFormat="1" applyFont="1" applyBorder="1" applyAlignment="1">
      <alignment horizontal="center"/>
    </xf>
    <xf numFmtId="0" fontId="7" fillId="7" borderId="35" xfId="7" applyFont="1" applyBorder="1" applyAlignment="1">
      <alignment horizontal="center" vertical="center"/>
    </xf>
    <xf numFmtId="0" fontId="7" fillId="7" borderId="0" xfId="7" applyFont="1" applyBorder="1" applyAlignment="1">
      <alignment horizontal="center" vertical="center"/>
    </xf>
    <xf numFmtId="164" fontId="7" fillId="7" borderId="36" xfId="7" applyNumberFormat="1" applyFont="1" applyBorder="1" applyAlignment="1">
      <alignment horizontal="center" vertical="center"/>
    </xf>
    <xf numFmtId="0" fontId="10" fillId="4" borderId="2" xfId="4" applyFont="1" applyBorder="1" applyAlignment="1">
      <alignment horizontal="center" vertical="center"/>
    </xf>
    <xf numFmtId="9" fontId="7" fillId="6" borderId="0" xfId="6" applyNumberFormat="1" applyFont="1" applyBorder="1" applyAlignment="1">
      <alignment horizontal="center"/>
    </xf>
    <xf numFmtId="9" fontId="7" fillId="6" borderId="9" xfId="6" applyNumberFormat="1" applyFont="1" applyBorder="1" applyAlignment="1">
      <alignment horizontal="center" vertical="center"/>
    </xf>
    <xf numFmtId="0" fontId="7" fillId="9" borderId="9" xfId="10" applyFont="1" applyBorder="1" applyAlignment="1">
      <alignment horizontal="center" vertical="center"/>
    </xf>
    <xf numFmtId="0" fontId="7" fillId="9" borderId="10" xfId="10" applyFont="1" applyBorder="1" applyAlignment="1">
      <alignment horizontal="center" vertical="center"/>
    </xf>
    <xf numFmtId="0" fontId="7" fillId="7" borderId="75" xfId="7" applyFont="1" applyBorder="1" applyAlignment="1">
      <alignment horizontal="center" vertical="center"/>
    </xf>
    <xf numFmtId="0" fontId="7" fillId="23" borderId="72" xfId="3" applyFont="1" applyFill="1" applyBorder="1" applyAlignment="1" applyProtection="1">
      <alignment horizontal="center" vertical="center"/>
      <protection locked="0"/>
    </xf>
    <xf numFmtId="0" fontId="7" fillId="7" borderId="11" xfId="7" applyFont="1" applyBorder="1" applyAlignment="1">
      <alignment horizontal="center" vertical="center"/>
    </xf>
    <xf numFmtId="0" fontId="7" fillId="7" borderId="76" xfId="7" applyFont="1" applyBorder="1" applyAlignment="1">
      <alignment horizontal="center" vertical="center"/>
    </xf>
    <xf numFmtId="0" fontId="7" fillId="7" borderId="75" xfId="7" applyFont="1" applyBorder="1" applyAlignment="1">
      <alignment horizontal="right"/>
    </xf>
    <xf numFmtId="10" fontId="7" fillId="9" borderId="2" xfId="1" applyNumberFormat="1" applyFont="1" applyFill="1" applyBorder="1" applyAlignment="1">
      <alignment horizontal="center" vertical="center"/>
    </xf>
    <xf numFmtId="9" fontId="7" fillId="6" borderId="6" xfId="6" applyNumberFormat="1" applyFont="1" applyBorder="1" applyAlignment="1">
      <alignment horizontal="center" vertical="center"/>
    </xf>
    <xf numFmtId="9" fontId="7" fillId="6" borderId="11" xfId="6" applyNumberFormat="1" applyFont="1" applyBorder="1" applyAlignment="1">
      <alignment horizontal="center" vertical="center"/>
    </xf>
    <xf numFmtId="0" fontId="7" fillId="7" borderId="35" xfId="7" applyFont="1" applyBorder="1" applyAlignment="1">
      <alignment horizontal="right"/>
    </xf>
    <xf numFmtId="0" fontId="7" fillId="7" borderId="0" xfId="7" applyFont="1" applyBorder="1" applyAlignment="1">
      <alignment horizontal="right"/>
    </xf>
    <xf numFmtId="0" fontId="7" fillId="7" borderId="42" xfId="7" applyFont="1" applyBorder="1"/>
    <xf numFmtId="0" fontId="7" fillId="9" borderId="0" xfId="10" applyFont="1"/>
    <xf numFmtId="0" fontId="7" fillId="9" borderId="44" xfId="10" applyFont="1" applyBorder="1"/>
    <xf numFmtId="0" fontId="29" fillId="0" borderId="0" xfId="16" applyFont="1" applyBorder="1" applyAlignment="1">
      <alignment horizontal="center" wrapText="1"/>
    </xf>
    <xf numFmtId="0" fontId="7" fillId="0" borderId="0" xfId="0" applyFont="1" applyAlignment="1">
      <alignment wrapText="1"/>
    </xf>
    <xf numFmtId="0" fontId="7" fillId="36" borderId="81" xfId="0" applyFont="1" applyFill="1" applyBorder="1" applyAlignment="1">
      <alignment horizontal="center" vertical="center"/>
    </xf>
    <xf numFmtId="0" fontId="7" fillId="36" borderId="118" xfId="0" applyFont="1" applyFill="1" applyBorder="1" applyAlignment="1">
      <alignment horizontal="center" vertical="center"/>
    </xf>
    <xf numFmtId="0" fontId="30" fillId="0" borderId="92" xfId="0" applyFont="1" applyBorder="1" applyAlignment="1">
      <alignment horizontal="left" vertical="top" wrapText="1"/>
    </xf>
    <xf numFmtId="0" fontId="30" fillId="0" borderId="0" xfId="0" applyFont="1" applyAlignment="1">
      <alignment horizontal="center" wrapText="1"/>
    </xf>
    <xf numFmtId="0" fontId="30" fillId="0" borderId="0" xfId="0" applyFont="1" applyAlignment="1">
      <alignment wrapText="1"/>
    </xf>
    <xf numFmtId="0" fontId="16" fillId="0" borderId="0" xfId="0" applyFont="1" applyAlignment="1">
      <alignment horizontal="center"/>
    </xf>
    <xf numFmtId="0" fontId="16" fillId="0" borderId="0" xfId="0" applyFont="1"/>
    <xf numFmtId="0" fontId="30" fillId="0" borderId="0" xfId="0" applyFont="1"/>
    <xf numFmtId="14" fontId="30" fillId="0" borderId="0" xfId="0" applyNumberFormat="1" applyFont="1"/>
    <xf numFmtId="0" fontId="30" fillId="0" borderId="0" xfId="0" applyFont="1" applyAlignment="1">
      <alignment horizontal="left" wrapText="1"/>
    </xf>
    <xf numFmtId="0" fontId="30" fillId="0" borderId="0" xfId="0" applyFont="1" applyAlignment="1">
      <alignment horizontal="left"/>
    </xf>
    <xf numFmtId="14" fontId="30" fillId="0" borderId="0" xfId="0" applyNumberFormat="1" applyFont="1" applyAlignment="1">
      <alignment vertical="top"/>
    </xf>
    <xf numFmtId="0" fontId="7" fillId="7" borderId="35" xfId="7" applyFont="1" applyBorder="1" applyAlignment="1">
      <alignment horizontal="center"/>
    </xf>
    <xf numFmtId="0" fontId="7" fillId="7" borderId="0" xfId="7" applyFont="1" applyBorder="1" applyAlignment="1">
      <alignment horizontal="center"/>
    </xf>
    <xf numFmtId="0" fontId="7" fillId="7" borderId="36" xfId="7" applyFont="1" applyBorder="1" applyAlignment="1">
      <alignment horizontal="center"/>
    </xf>
    <xf numFmtId="0" fontId="7" fillId="4" borderId="1" xfId="4" applyFont="1" applyBorder="1" applyAlignment="1">
      <alignment horizontal="center" vertical="center"/>
    </xf>
    <xf numFmtId="0" fontId="7" fillId="6" borderId="9" xfId="6" applyFont="1" applyBorder="1" applyAlignment="1">
      <alignment horizontal="center"/>
    </xf>
    <xf numFmtId="0" fontId="7" fillId="6" borderId="0" xfId="6" applyFont="1" applyBorder="1" applyAlignment="1">
      <alignment horizontal="center"/>
    </xf>
    <xf numFmtId="0" fontId="7" fillId="7" borderId="16" xfId="7" applyFont="1" applyBorder="1" applyAlignment="1">
      <alignment horizontal="center"/>
    </xf>
    <xf numFmtId="0" fontId="7" fillId="7" borderId="15" xfId="7" applyFont="1" applyBorder="1" applyAlignment="1">
      <alignment horizontal="center"/>
    </xf>
    <xf numFmtId="2" fontId="7" fillId="7" borderId="12" xfId="7" applyNumberFormat="1" applyFont="1" applyBorder="1" applyAlignment="1">
      <alignment horizontal="center"/>
    </xf>
    <xf numFmtId="165" fontId="7" fillId="7" borderId="18" xfId="7" applyNumberFormat="1" applyFont="1" applyBorder="1" applyAlignment="1">
      <alignment horizontal="center"/>
    </xf>
    <xf numFmtId="0" fontId="7" fillId="7" borderId="75" xfId="7" applyFont="1" applyBorder="1" applyAlignment="1">
      <alignment horizontal="center"/>
    </xf>
    <xf numFmtId="0" fontId="7" fillId="7" borderId="7" xfId="7" applyFont="1" applyBorder="1" applyAlignment="1">
      <alignment horizontal="center"/>
    </xf>
    <xf numFmtId="0" fontId="7" fillId="5" borderId="16" xfId="5" applyFont="1" applyBorder="1" applyAlignment="1">
      <alignment horizontal="center"/>
    </xf>
    <xf numFmtId="0" fontId="7" fillId="5" borderId="15" xfId="5" applyFont="1" applyBorder="1" applyAlignment="1">
      <alignment horizontal="center"/>
    </xf>
    <xf numFmtId="0" fontId="7" fillId="5" borderId="35" xfId="5" applyFont="1" applyBorder="1" applyAlignment="1">
      <alignment horizontal="center"/>
    </xf>
    <xf numFmtId="0" fontId="7" fillId="5" borderId="0" xfId="5" applyFont="1" applyBorder="1" applyAlignment="1">
      <alignment horizontal="center"/>
    </xf>
    <xf numFmtId="0" fontId="7" fillId="23" borderId="41" xfId="3" applyFont="1" applyFill="1" applyBorder="1" applyAlignment="1">
      <alignment horizontal="center"/>
    </xf>
    <xf numFmtId="0" fontId="7" fillId="23" borderId="21" xfId="3" applyFont="1" applyFill="1" applyBorder="1" applyAlignment="1">
      <alignment horizontal="center"/>
    </xf>
    <xf numFmtId="0" fontId="7" fillId="23" borderId="20" xfId="3" applyFont="1" applyFill="1" applyBorder="1" applyAlignment="1">
      <alignment horizontal="center"/>
    </xf>
    <xf numFmtId="0" fontId="15" fillId="0" borderId="0" xfId="9" applyFont="1" applyAlignment="1">
      <alignment horizontal="left"/>
    </xf>
    <xf numFmtId="0" fontId="21" fillId="19" borderId="92" xfId="0" applyFont="1" applyFill="1" applyBorder="1" applyAlignment="1">
      <alignment horizontal="center" vertical="center"/>
    </xf>
    <xf numFmtId="165" fontId="7" fillId="7" borderId="0" xfId="7" applyNumberFormat="1" applyFont="1" applyBorder="1" applyAlignment="1">
      <alignment horizontal="center"/>
    </xf>
    <xf numFmtId="0" fontId="7" fillId="23" borderId="41" xfId="3" applyFont="1" applyFill="1" applyBorder="1" applyAlignment="1">
      <alignment horizontal="center" vertical="center"/>
    </xf>
    <xf numFmtId="0" fontId="7" fillId="23" borderId="23" xfId="3" applyFont="1" applyFill="1" applyBorder="1" applyAlignment="1">
      <alignment horizontal="center" vertical="center"/>
    </xf>
    <xf numFmtId="0" fontId="1" fillId="5" borderId="92" xfId="5" applyBorder="1" applyAlignment="1">
      <alignment horizontal="center" vertical="center"/>
    </xf>
    <xf numFmtId="0" fontId="2" fillId="0" borderId="0" xfId="9"/>
    <xf numFmtId="0" fontId="2" fillId="0" borderId="0" xfId="9" applyAlignment="1">
      <alignment horizontal="left" vertical="top"/>
    </xf>
    <xf numFmtId="0" fontId="2" fillId="0" borderId="0" xfId="9" applyAlignment="1">
      <alignment horizontal="left" vertical="center" indent="1"/>
    </xf>
    <xf numFmtId="2" fontId="7" fillId="23" borderId="19" xfId="3" applyNumberFormat="1" applyFont="1" applyFill="1" applyBorder="1" applyAlignment="1" applyProtection="1">
      <alignment horizontal="center"/>
      <protection locked="0"/>
    </xf>
    <xf numFmtId="10" fontId="7" fillId="7" borderId="0" xfId="1" applyNumberFormat="1" applyFont="1" applyFill="1" applyBorder="1" applyAlignment="1">
      <alignment horizontal="center"/>
    </xf>
    <xf numFmtId="10" fontId="7" fillId="7" borderId="12" xfId="1" applyNumberFormat="1" applyFont="1" applyFill="1" applyBorder="1" applyAlignment="1">
      <alignment horizontal="center"/>
    </xf>
    <xf numFmtId="2" fontId="7" fillId="23" borderId="100" xfId="3" applyNumberFormat="1" applyFont="1" applyFill="1" applyBorder="1" applyAlignment="1" applyProtection="1">
      <alignment horizontal="center"/>
      <protection locked="0"/>
    </xf>
    <xf numFmtId="0" fontId="10" fillId="2" borderId="37" xfId="2" applyFont="1" applyBorder="1" applyAlignment="1">
      <alignment horizontal="center" vertical="center"/>
    </xf>
    <xf numFmtId="0" fontId="10" fillId="2" borderId="8" xfId="2" applyFont="1" applyBorder="1" applyAlignment="1">
      <alignment horizontal="center" vertical="center"/>
    </xf>
    <xf numFmtId="0" fontId="10" fillId="2" borderId="73" xfId="2" applyFont="1" applyBorder="1" applyAlignment="1">
      <alignment horizontal="center" vertical="center"/>
    </xf>
    <xf numFmtId="0" fontId="7" fillId="7" borderId="35" xfId="7" applyFont="1" applyBorder="1" applyAlignment="1">
      <alignment horizontal="center"/>
    </xf>
    <xf numFmtId="0" fontId="7" fillId="7" borderId="0" xfId="7" applyFont="1" applyBorder="1" applyAlignment="1">
      <alignment horizontal="center"/>
    </xf>
    <xf numFmtId="0" fontId="7" fillId="7" borderId="36" xfId="7" applyFont="1" applyBorder="1" applyAlignment="1">
      <alignment horizontal="center"/>
    </xf>
    <xf numFmtId="0" fontId="9" fillId="2" borderId="32" xfId="2" applyFont="1" applyBorder="1" applyAlignment="1">
      <alignment horizontal="center"/>
    </xf>
    <xf numFmtId="0" fontId="9" fillId="2" borderId="33" xfId="2" applyFont="1" applyBorder="1" applyAlignment="1">
      <alignment horizontal="center"/>
    </xf>
    <xf numFmtId="0" fontId="9" fillId="2" borderId="34" xfId="2" applyFont="1" applyBorder="1" applyAlignment="1">
      <alignment horizontal="center"/>
    </xf>
    <xf numFmtId="0" fontId="9" fillId="10" borderId="32" xfId="11" applyFont="1" applyBorder="1" applyAlignment="1">
      <alignment horizontal="center" vertical="center"/>
    </xf>
    <xf numFmtId="0" fontId="9" fillId="10" borderId="33" xfId="11" applyFont="1" applyBorder="1" applyAlignment="1">
      <alignment horizontal="center" vertical="center"/>
    </xf>
    <xf numFmtId="0" fontId="9" fillId="10" borderId="34" xfId="11" applyFont="1" applyBorder="1" applyAlignment="1">
      <alignment horizontal="center" vertical="center"/>
    </xf>
    <xf numFmtId="0" fontId="7" fillId="9" borderId="4" xfId="10" applyFont="1" applyBorder="1" applyAlignment="1">
      <alignment horizontal="center"/>
    </xf>
    <xf numFmtId="0" fontId="7" fillId="9" borderId="5" xfId="10" applyFont="1" applyBorder="1" applyAlignment="1">
      <alignment horizontal="center"/>
    </xf>
    <xf numFmtId="0" fontId="9" fillId="4" borderId="32" xfId="4" applyFont="1" applyBorder="1" applyAlignment="1">
      <alignment horizontal="center" vertical="center"/>
    </xf>
    <xf numFmtId="0" fontId="9" fillId="4" borderId="33" xfId="4" applyFont="1" applyBorder="1" applyAlignment="1">
      <alignment horizontal="center" vertical="center"/>
    </xf>
    <xf numFmtId="0" fontId="9" fillId="4" borderId="34" xfId="4" applyFont="1" applyBorder="1" applyAlignment="1">
      <alignment horizontal="center" vertical="center"/>
    </xf>
    <xf numFmtId="0" fontId="7" fillId="9" borderId="0" xfId="10" applyFont="1" applyBorder="1" applyAlignment="1">
      <alignment horizontal="center" wrapText="1"/>
    </xf>
    <xf numFmtId="0" fontId="9" fillId="4" borderId="61" xfId="4" applyFont="1" applyBorder="1" applyAlignment="1">
      <alignment horizontal="center" vertical="center"/>
    </xf>
    <xf numFmtId="0" fontId="9" fillId="4" borderId="97" xfId="4" applyFont="1" applyBorder="1" applyAlignment="1">
      <alignment horizontal="center" vertical="center"/>
    </xf>
    <xf numFmtId="0" fontId="9" fillId="4" borderId="4" xfId="4" applyFont="1" applyBorder="1" applyAlignment="1">
      <alignment horizontal="center" vertical="center"/>
    </xf>
    <xf numFmtId="0" fontId="9" fillId="4" borderId="8" xfId="4" applyFont="1" applyBorder="1" applyAlignment="1">
      <alignment horizontal="center" vertical="center"/>
    </xf>
    <xf numFmtId="0" fontId="9" fillId="4" borderId="5" xfId="4" applyFont="1" applyBorder="1" applyAlignment="1">
      <alignment horizontal="center" vertical="center"/>
    </xf>
    <xf numFmtId="0" fontId="9" fillId="4" borderId="6" xfId="4" applyFont="1" applyBorder="1" applyAlignment="1">
      <alignment horizontal="center" vertical="center"/>
    </xf>
    <xf numFmtId="0" fontId="9" fillId="4" borderId="11" xfId="4" applyFont="1" applyBorder="1" applyAlignment="1">
      <alignment horizontal="center" vertical="center"/>
    </xf>
    <xf numFmtId="0" fontId="9" fillId="4" borderId="7" xfId="4" applyFont="1" applyBorder="1" applyAlignment="1">
      <alignment horizontal="center" vertical="center"/>
    </xf>
    <xf numFmtId="0" fontId="10" fillId="4" borderId="1" xfId="4" applyFont="1" applyBorder="1" applyAlignment="1">
      <alignment horizontal="center" vertical="center"/>
    </xf>
    <xf numFmtId="0" fontId="10" fillId="4" borderId="3" xfId="4" applyFont="1" applyBorder="1" applyAlignment="1">
      <alignment horizontal="center" vertical="center"/>
    </xf>
    <xf numFmtId="0" fontId="7" fillId="4" borderId="1" xfId="4" applyFont="1" applyBorder="1" applyAlignment="1">
      <alignment horizontal="center"/>
    </xf>
    <xf numFmtId="0" fontId="7" fillId="4" borderId="3" xfId="4" applyFont="1" applyBorder="1" applyAlignment="1">
      <alignment horizontal="center"/>
    </xf>
    <xf numFmtId="0" fontId="7" fillId="4" borderId="2" xfId="4" applyFont="1" applyBorder="1" applyAlignment="1">
      <alignment horizontal="center"/>
    </xf>
    <xf numFmtId="0" fontId="7" fillId="4" borderId="1" xfId="4" applyFont="1" applyBorder="1" applyAlignment="1">
      <alignment horizontal="center" vertical="center"/>
    </xf>
    <xf numFmtId="0" fontId="7" fillId="4" borderId="3" xfId="4" applyFont="1" applyBorder="1" applyAlignment="1">
      <alignment horizontal="center" vertical="center"/>
    </xf>
    <xf numFmtId="0" fontId="7" fillId="4" borderId="2" xfId="4" applyFont="1" applyBorder="1" applyAlignment="1">
      <alignment horizontal="center" vertical="center"/>
    </xf>
    <xf numFmtId="0" fontId="7" fillId="2" borderId="77" xfId="2" applyFont="1" applyBorder="1" applyAlignment="1">
      <alignment horizontal="center"/>
    </xf>
    <xf numFmtId="0" fontId="7" fillId="2" borderId="8" xfId="2" applyFont="1" applyBorder="1" applyAlignment="1">
      <alignment horizontal="center"/>
    </xf>
    <xf numFmtId="0" fontId="7" fillId="2" borderId="5" xfId="2" applyFont="1" applyBorder="1" applyAlignment="1">
      <alignment horizontal="center"/>
    </xf>
    <xf numFmtId="0" fontId="7" fillId="23" borderId="20" xfId="3" applyFont="1" applyFill="1" applyBorder="1" applyAlignment="1" applyProtection="1">
      <alignment horizontal="center"/>
      <protection locked="0"/>
    </xf>
    <xf numFmtId="0" fontId="7" fillId="23" borderId="21" xfId="3" applyFont="1" applyFill="1" applyBorder="1" applyAlignment="1" applyProtection="1">
      <alignment horizontal="center"/>
      <protection locked="0"/>
    </xf>
    <xf numFmtId="0" fontId="9" fillId="4" borderId="32" xfId="4" applyFont="1" applyBorder="1" applyAlignment="1">
      <alignment horizontal="center"/>
    </xf>
    <xf numFmtId="0" fontId="9" fillId="4" borderId="33" xfId="4" applyFont="1" applyBorder="1" applyAlignment="1">
      <alignment horizontal="center"/>
    </xf>
    <xf numFmtId="0" fontId="9" fillId="4" borderId="34" xfId="4" applyFont="1" applyBorder="1" applyAlignment="1">
      <alignment horizontal="center"/>
    </xf>
    <xf numFmtId="0" fontId="12" fillId="25" borderId="1" xfId="13" applyFont="1" applyBorder="1" applyAlignment="1">
      <alignment horizontal="center" vertical="center"/>
    </xf>
    <xf numFmtId="0" fontId="12" fillId="25" borderId="3" xfId="13" applyFont="1" applyBorder="1" applyAlignment="1">
      <alignment horizontal="center" vertical="center"/>
    </xf>
    <xf numFmtId="0" fontId="12" fillId="25" borderId="2" xfId="13" applyFont="1" applyBorder="1" applyAlignment="1">
      <alignment horizontal="center" vertical="center"/>
    </xf>
    <xf numFmtId="0" fontId="7" fillId="6" borderId="0" xfId="6" applyFont="1" applyBorder="1" applyAlignment="1">
      <alignment horizontal="center" vertical="center" wrapText="1"/>
    </xf>
    <xf numFmtId="0" fontId="7" fillId="6" borderId="47" xfId="6" applyFont="1" applyBorder="1" applyAlignment="1">
      <alignment horizontal="center" vertical="center" wrapText="1"/>
    </xf>
    <xf numFmtId="0" fontId="7" fillId="6" borderId="36" xfId="6" applyFont="1" applyBorder="1" applyAlignment="1">
      <alignment horizontal="center" vertical="center" wrapText="1"/>
    </xf>
    <xf numFmtId="0" fontId="7" fillId="6" borderId="48" xfId="6" applyFont="1" applyBorder="1" applyAlignment="1">
      <alignment horizontal="center" vertical="center" wrapText="1"/>
    </xf>
    <xf numFmtId="0" fontId="9" fillId="4" borderId="115" xfId="4" applyFont="1" applyBorder="1" applyAlignment="1">
      <alignment horizontal="center" vertical="center"/>
    </xf>
    <xf numFmtId="0" fontId="9" fillId="4" borderId="116" xfId="4" applyFont="1" applyBorder="1" applyAlignment="1">
      <alignment horizontal="center" vertical="center"/>
    </xf>
    <xf numFmtId="0" fontId="9" fillId="4" borderId="107" xfId="4" applyFont="1" applyBorder="1" applyAlignment="1">
      <alignment horizontal="center" vertical="center"/>
    </xf>
    <xf numFmtId="0" fontId="9" fillId="4" borderId="81" xfId="4" applyFont="1" applyBorder="1" applyAlignment="1">
      <alignment horizontal="center" vertical="center"/>
    </xf>
    <xf numFmtId="0" fontId="9" fillId="2" borderId="101" xfId="2" applyFont="1" applyBorder="1" applyAlignment="1">
      <alignment horizontal="center"/>
    </xf>
    <xf numFmtId="0" fontId="9" fillId="2" borderId="99" xfId="2" applyFont="1" applyBorder="1" applyAlignment="1">
      <alignment horizontal="center"/>
    </xf>
    <xf numFmtId="0" fontId="9" fillId="2" borderId="102" xfId="2" applyFont="1" applyBorder="1" applyAlignment="1">
      <alignment horizontal="center"/>
    </xf>
    <xf numFmtId="0" fontId="10" fillId="4" borderId="32" xfId="4" applyFont="1" applyBorder="1" applyAlignment="1">
      <alignment horizontal="center" vertical="center"/>
    </xf>
    <xf numFmtId="0" fontId="10" fillId="4" borderId="33" xfId="4" applyFont="1" applyBorder="1" applyAlignment="1">
      <alignment horizontal="center" vertical="center"/>
    </xf>
    <xf numFmtId="0" fontId="9" fillId="10" borderId="32" xfId="11" applyFont="1" applyBorder="1" applyAlignment="1">
      <alignment horizontal="center"/>
    </xf>
    <xf numFmtId="0" fontId="9" fillId="10" borderId="33" xfId="11" applyFont="1" applyBorder="1" applyAlignment="1">
      <alignment horizontal="center"/>
    </xf>
    <xf numFmtId="0" fontId="9" fillId="10" borderId="34" xfId="11" applyFont="1" applyBorder="1" applyAlignment="1">
      <alignment horizontal="center"/>
    </xf>
    <xf numFmtId="0" fontId="10" fillId="7" borderId="24" xfId="7" applyFont="1" applyBorder="1" applyAlignment="1">
      <alignment horizontal="center" vertical="center"/>
    </xf>
    <xf numFmtId="0" fontId="10" fillId="7" borderId="14" xfId="7" applyFont="1" applyBorder="1" applyAlignment="1">
      <alignment horizontal="center" vertical="center"/>
    </xf>
    <xf numFmtId="0" fontId="10" fillId="7" borderId="12" xfId="7" applyFont="1" applyBorder="1" applyAlignment="1">
      <alignment horizontal="center" vertical="center"/>
    </xf>
    <xf numFmtId="0" fontId="10" fillId="7" borderId="18" xfId="7" applyFont="1" applyBorder="1" applyAlignment="1">
      <alignment horizontal="center" vertical="center"/>
    </xf>
    <xf numFmtId="0" fontId="7" fillId="14" borderId="32" xfId="4" applyFont="1" applyFill="1" applyBorder="1" applyAlignment="1">
      <alignment horizontal="center" vertical="center"/>
    </xf>
    <xf numFmtId="0" fontId="7" fillId="14" borderId="33" xfId="4" applyFont="1" applyFill="1" applyBorder="1" applyAlignment="1">
      <alignment horizontal="center" vertical="center"/>
    </xf>
    <xf numFmtId="0" fontId="7" fillId="14" borderId="34" xfId="4" applyFont="1" applyFill="1" applyBorder="1" applyAlignment="1">
      <alignment horizontal="center" vertical="center"/>
    </xf>
    <xf numFmtId="9" fontId="7" fillId="23" borderId="20" xfId="1" applyFont="1" applyFill="1" applyBorder="1" applyAlignment="1" applyProtection="1">
      <alignment horizontal="center"/>
      <protection locked="0"/>
    </xf>
    <xf numFmtId="9" fontId="7" fillId="23" borderId="21" xfId="1" applyFont="1" applyFill="1" applyBorder="1" applyAlignment="1" applyProtection="1">
      <alignment horizontal="center"/>
      <protection locked="0"/>
    </xf>
    <xf numFmtId="10" fontId="7" fillId="6" borderId="92" xfId="1" applyNumberFormat="1" applyFont="1" applyFill="1" applyBorder="1" applyAlignment="1">
      <alignment horizontal="center" vertical="center"/>
    </xf>
    <xf numFmtId="0" fontId="7" fillId="6" borderId="35" xfId="6" applyFont="1" applyBorder="1" applyAlignment="1">
      <alignment horizontal="center" vertical="center" wrapText="1"/>
    </xf>
    <xf numFmtId="0" fontId="7" fillId="6" borderId="44" xfId="6" applyFont="1" applyBorder="1" applyAlignment="1">
      <alignment horizontal="center" vertical="center" wrapText="1"/>
    </xf>
    <xf numFmtId="0" fontId="7" fillId="23" borderId="41" xfId="8" applyFont="1" applyFill="1" applyBorder="1" applyAlignment="1" applyProtection="1">
      <alignment horizontal="center"/>
      <protection locked="0"/>
    </xf>
    <xf numFmtId="0" fontId="7" fillId="23" borderId="21" xfId="8" applyFont="1" applyFill="1" applyBorder="1" applyAlignment="1" applyProtection="1">
      <alignment horizontal="center"/>
      <protection locked="0"/>
    </xf>
    <xf numFmtId="0" fontId="7" fillId="23" borderId="20" xfId="8" applyFont="1" applyFill="1" applyBorder="1" applyAlignment="1" applyProtection="1">
      <alignment horizontal="center"/>
      <protection locked="0"/>
    </xf>
    <xf numFmtId="165" fontId="7" fillId="7" borderId="17" xfId="7" applyNumberFormat="1" applyFont="1" applyBorder="1" applyAlignment="1">
      <alignment horizontal="center"/>
    </xf>
    <xf numFmtId="165" fontId="7" fillId="7" borderId="12" xfId="7" applyNumberFormat="1" applyFont="1" applyBorder="1" applyAlignment="1">
      <alignment horizontal="center"/>
    </xf>
    <xf numFmtId="165" fontId="7" fillId="7" borderId="18" xfId="7" applyNumberFormat="1" applyFont="1" applyBorder="1" applyAlignment="1">
      <alignment horizontal="center"/>
    </xf>
    <xf numFmtId="0" fontId="7" fillId="23" borderId="23" xfId="8" applyFont="1" applyFill="1" applyBorder="1" applyAlignment="1" applyProtection="1">
      <alignment horizontal="center"/>
      <protection locked="0"/>
    </xf>
    <xf numFmtId="0" fontId="7" fillId="23" borderId="79" xfId="8" applyFont="1" applyFill="1" applyBorder="1" applyAlignment="1" applyProtection="1">
      <alignment horizontal="center"/>
      <protection locked="0"/>
    </xf>
    <xf numFmtId="0" fontId="7" fillId="23" borderId="64" xfId="8" applyFont="1" applyFill="1" applyBorder="1" applyAlignment="1" applyProtection="1">
      <alignment horizontal="center"/>
      <protection locked="0"/>
    </xf>
    <xf numFmtId="0" fontId="7" fillId="23" borderId="65" xfId="8" applyFont="1" applyFill="1" applyBorder="1" applyAlignment="1" applyProtection="1">
      <alignment horizontal="center"/>
      <protection locked="0"/>
    </xf>
    <xf numFmtId="0" fontId="7" fillId="23" borderId="63" xfId="8" applyFont="1" applyFill="1" applyBorder="1" applyAlignment="1" applyProtection="1">
      <alignment horizontal="center"/>
      <protection locked="0"/>
    </xf>
    <xf numFmtId="0" fontId="7" fillId="7" borderId="53" xfId="7" applyFont="1" applyBorder="1" applyAlignment="1">
      <alignment horizontal="center"/>
    </xf>
    <xf numFmtId="0" fontId="7" fillId="7" borderId="62" xfId="7" applyFont="1" applyBorder="1" applyAlignment="1">
      <alignment horizontal="center"/>
    </xf>
    <xf numFmtId="0" fontId="7" fillId="7" borderId="54" xfId="7" applyFont="1" applyBorder="1" applyAlignment="1">
      <alignment horizontal="center"/>
    </xf>
    <xf numFmtId="0" fontId="7" fillId="7" borderId="15" xfId="7" applyFont="1" applyBorder="1" applyAlignment="1">
      <alignment horizontal="center"/>
    </xf>
    <xf numFmtId="0" fontId="7" fillId="7" borderId="16" xfId="7" applyFont="1" applyBorder="1" applyAlignment="1">
      <alignment horizontal="center"/>
    </xf>
    <xf numFmtId="2" fontId="7" fillId="7" borderId="44" xfId="7" applyNumberFormat="1" applyFont="1" applyBorder="1" applyAlignment="1">
      <alignment horizontal="center"/>
    </xf>
    <xf numFmtId="2" fontId="7" fillId="7" borderId="47" xfId="7" applyNumberFormat="1" applyFont="1" applyBorder="1" applyAlignment="1">
      <alignment horizontal="center"/>
    </xf>
    <xf numFmtId="2" fontId="7" fillId="7" borderId="45" xfId="7" applyNumberFormat="1" applyFont="1" applyBorder="1" applyAlignment="1">
      <alignment horizontal="center"/>
    </xf>
    <xf numFmtId="2" fontId="7" fillId="7" borderId="46" xfId="7" applyNumberFormat="1" applyFont="1" applyBorder="1" applyAlignment="1">
      <alignment horizontal="center"/>
    </xf>
    <xf numFmtId="0" fontId="7" fillId="23" borderId="26" xfId="8" applyFont="1" applyFill="1" applyBorder="1" applyAlignment="1" applyProtection="1">
      <alignment horizontal="center"/>
      <protection locked="0"/>
    </xf>
    <xf numFmtId="0" fontId="7" fillId="23" borderId="25" xfId="8" applyFont="1" applyFill="1" applyBorder="1" applyAlignment="1" applyProtection="1">
      <alignment horizontal="center"/>
      <protection locked="0"/>
    </xf>
    <xf numFmtId="0" fontId="7" fillId="7" borderId="75" xfId="7" applyFont="1" applyBorder="1" applyAlignment="1">
      <alignment horizontal="center"/>
    </xf>
    <xf numFmtId="0" fontId="7" fillId="7" borderId="11" xfId="7" applyFont="1" applyBorder="1" applyAlignment="1">
      <alignment horizontal="center"/>
    </xf>
    <xf numFmtId="0" fontId="7" fillId="7" borderId="7" xfId="7" applyFont="1" applyBorder="1" applyAlignment="1">
      <alignment horizontal="center"/>
    </xf>
    <xf numFmtId="0" fontId="7" fillId="7" borderId="27" xfId="7" applyFont="1" applyBorder="1" applyAlignment="1">
      <alignment horizontal="center"/>
    </xf>
    <xf numFmtId="0" fontId="7" fillId="7" borderId="28" xfId="7" applyFont="1" applyBorder="1" applyAlignment="1">
      <alignment horizontal="center"/>
    </xf>
    <xf numFmtId="0" fontId="7" fillId="4" borderId="68" xfId="4" applyFont="1" applyBorder="1" applyAlignment="1">
      <alignment horizontal="center"/>
    </xf>
    <xf numFmtId="0" fontId="7" fillId="4" borderId="69" xfId="4" applyFont="1" applyBorder="1" applyAlignment="1">
      <alignment horizontal="center"/>
    </xf>
    <xf numFmtId="0" fontId="7" fillId="2" borderId="37" xfId="2" applyFont="1" applyBorder="1" applyAlignment="1">
      <alignment horizontal="center" wrapText="1"/>
    </xf>
    <xf numFmtId="0" fontId="7" fillId="2" borderId="8" xfId="2" applyFont="1" applyBorder="1" applyAlignment="1">
      <alignment horizontal="center" wrapText="1"/>
    </xf>
    <xf numFmtId="0" fontId="7" fillId="2" borderId="5" xfId="2" applyFont="1" applyBorder="1" applyAlignment="1">
      <alignment horizontal="center" wrapText="1"/>
    </xf>
    <xf numFmtId="0" fontId="7" fillId="2" borderId="35" xfId="2" applyFont="1" applyBorder="1" applyAlignment="1">
      <alignment horizontal="center" wrapText="1"/>
    </xf>
    <xf numFmtId="0" fontId="7" fillId="2" borderId="0" xfId="2" applyFont="1" applyBorder="1" applyAlignment="1">
      <alignment horizontal="center" wrapText="1"/>
    </xf>
    <xf numFmtId="0" fontId="7" fillId="2" borderId="10" xfId="2" applyFont="1" applyBorder="1" applyAlignment="1">
      <alignment horizontal="center" wrapText="1"/>
    </xf>
    <xf numFmtId="0" fontId="7" fillId="7" borderId="31" xfId="7" applyFont="1" applyBorder="1" applyAlignment="1">
      <alignment horizontal="center"/>
    </xf>
    <xf numFmtId="0" fontId="7" fillId="7" borderId="10" xfId="7" applyFont="1" applyBorder="1" applyAlignment="1">
      <alignment horizontal="center"/>
    </xf>
    <xf numFmtId="0" fontId="7" fillId="7" borderId="13" xfId="7" applyFont="1" applyBorder="1" applyAlignment="1">
      <alignment horizontal="center"/>
    </xf>
    <xf numFmtId="0" fontId="7" fillId="7" borderId="24" xfId="7" applyFont="1" applyBorder="1" applyAlignment="1">
      <alignment horizontal="center"/>
    </xf>
    <xf numFmtId="0" fontId="7" fillId="7" borderId="14" xfId="7" applyFont="1" applyBorder="1" applyAlignment="1">
      <alignment horizontal="center"/>
    </xf>
    <xf numFmtId="0" fontId="7" fillId="2" borderId="37" xfId="2" applyFont="1" applyBorder="1" applyAlignment="1">
      <alignment horizontal="center"/>
    </xf>
    <xf numFmtId="0" fontId="7" fillId="7" borderId="78" xfId="7" applyFont="1" applyBorder="1" applyAlignment="1">
      <alignment horizontal="center"/>
    </xf>
    <xf numFmtId="0" fontId="7" fillId="7" borderId="66" xfId="7" applyFont="1" applyBorder="1" applyAlignment="1">
      <alignment horizontal="center"/>
    </xf>
    <xf numFmtId="0" fontId="7" fillId="7" borderId="67" xfId="7" applyFont="1" applyBorder="1" applyAlignment="1">
      <alignment horizontal="center"/>
    </xf>
    <xf numFmtId="0" fontId="7" fillId="6" borderId="0" xfId="6" applyFont="1" applyBorder="1" applyAlignment="1">
      <alignment horizontal="center"/>
    </xf>
    <xf numFmtId="0" fontId="7" fillId="6" borderId="11" xfId="6" applyFont="1" applyBorder="1" applyAlignment="1">
      <alignment horizontal="center"/>
    </xf>
    <xf numFmtId="0" fontId="7" fillId="4" borderId="70" xfId="4" applyFont="1" applyBorder="1" applyAlignment="1">
      <alignment horizontal="center"/>
    </xf>
    <xf numFmtId="0" fontId="7" fillId="6" borderId="9" xfId="6" applyFont="1" applyBorder="1" applyAlignment="1">
      <alignment horizontal="center"/>
    </xf>
    <xf numFmtId="0" fontId="7" fillId="2" borderId="77" xfId="2" applyFont="1" applyBorder="1" applyAlignment="1">
      <alignment horizontal="center" wrapText="1"/>
    </xf>
    <xf numFmtId="0" fontId="7" fillId="2" borderId="69" xfId="2" applyFont="1" applyBorder="1" applyAlignment="1">
      <alignment horizontal="center" wrapText="1"/>
    </xf>
    <xf numFmtId="0" fontId="7" fillId="2" borderId="70" xfId="2" applyFont="1" applyBorder="1" applyAlignment="1">
      <alignment horizontal="center" wrapText="1"/>
    </xf>
    <xf numFmtId="0" fontId="7" fillId="6" borderId="6" xfId="6" applyFont="1" applyBorder="1" applyAlignment="1">
      <alignment horizontal="center"/>
    </xf>
    <xf numFmtId="0" fontId="7" fillId="6" borderId="10" xfId="6" applyFont="1" applyBorder="1" applyAlignment="1">
      <alignment horizontal="center"/>
    </xf>
    <xf numFmtId="0" fontId="7" fillId="6" borderId="7" xfId="6" applyFont="1" applyBorder="1" applyAlignment="1">
      <alignment horizontal="center"/>
    </xf>
    <xf numFmtId="0" fontId="2" fillId="0" borderId="0" xfId="9" applyAlignment="1">
      <alignment horizontal="center"/>
    </xf>
    <xf numFmtId="2" fontId="7" fillId="7" borderId="40" xfId="7" applyNumberFormat="1" applyFont="1" applyBorder="1" applyAlignment="1">
      <alignment horizontal="center"/>
    </xf>
    <xf numFmtId="2" fontId="7" fillId="7" borderId="12" xfId="7" applyNumberFormat="1" applyFont="1" applyBorder="1" applyAlignment="1">
      <alignment horizontal="center"/>
    </xf>
    <xf numFmtId="2" fontId="7" fillId="7" borderId="18" xfId="7" applyNumberFormat="1" applyFont="1" applyBorder="1" applyAlignment="1">
      <alignment horizontal="center"/>
    </xf>
    <xf numFmtId="2" fontId="7" fillId="7" borderId="17" xfId="7" applyNumberFormat="1" applyFont="1" applyBorder="1" applyAlignment="1">
      <alignment horizontal="center"/>
    </xf>
    <xf numFmtId="2" fontId="7" fillId="5" borderId="60" xfId="5" applyNumberFormat="1" applyFont="1" applyBorder="1" applyAlignment="1">
      <alignment horizontal="center" vertical="center"/>
    </xf>
    <xf numFmtId="2" fontId="7" fillId="5" borderId="58" xfId="5" applyNumberFormat="1" applyFont="1" applyBorder="1" applyAlignment="1">
      <alignment horizontal="center" vertical="center"/>
    </xf>
    <xf numFmtId="0" fontId="7" fillId="5" borderId="42" xfId="5" applyFont="1" applyBorder="1" applyAlignment="1">
      <alignment horizontal="center"/>
    </xf>
    <xf numFmtId="0" fontId="7" fillId="5" borderId="3" xfId="5" applyFont="1" applyBorder="1" applyAlignment="1">
      <alignment horizontal="center"/>
    </xf>
    <xf numFmtId="0" fontId="7" fillId="5" borderId="2" xfId="5" applyFont="1" applyBorder="1" applyAlignment="1">
      <alignment horizontal="center"/>
    </xf>
    <xf numFmtId="0" fontId="7" fillId="5" borderId="35" xfId="5" applyFont="1" applyBorder="1" applyAlignment="1">
      <alignment horizontal="center"/>
    </xf>
    <xf numFmtId="0" fontId="7" fillId="5" borderId="16" xfId="5" applyFont="1" applyBorder="1" applyAlignment="1">
      <alignment horizontal="center"/>
    </xf>
    <xf numFmtId="0" fontId="7" fillId="5" borderId="15" xfId="5" applyFont="1" applyBorder="1" applyAlignment="1">
      <alignment horizontal="center"/>
    </xf>
    <xf numFmtId="0" fontId="7" fillId="23" borderId="41" xfId="3" applyFont="1" applyFill="1" applyBorder="1" applyAlignment="1">
      <alignment horizontal="center"/>
    </xf>
    <xf numFmtId="0" fontId="7" fillId="23" borderId="21" xfId="3" applyFont="1" applyFill="1" applyBorder="1" applyAlignment="1">
      <alignment horizontal="center"/>
    </xf>
    <xf numFmtId="0" fontId="7" fillId="23" borderId="20" xfId="3" applyFont="1" applyFill="1" applyBorder="1" applyAlignment="1">
      <alignment horizontal="center"/>
    </xf>
    <xf numFmtId="0" fontId="7" fillId="5" borderId="53" xfId="5" applyFont="1" applyBorder="1" applyAlignment="1">
      <alignment horizontal="center"/>
    </xf>
    <xf numFmtId="0" fontId="7" fillId="5" borderId="54" xfId="5" applyFont="1" applyBorder="1" applyAlignment="1">
      <alignment horizontal="center"/>
    </xf>
    <xf numFmtId="10" fontId="7" fillId="5" borderId="40" xfId="5" applyNumberFormat="1" applyFont="1" applyBorder="1" applyAlignment="1">
      <alignment horizontal="center"/>
    </xf>
    <xf numFmtId="10" fontId="7" fillId="5" borderId="18" xfId="5" applyNumberFormat="1" applyFont="1" applyBorder="1" applyAlignment="1">
      <alignment horizontal="center"/>
    </xf>
    <xf numFmtId="0" fontId="7" fillId="5" borderId="38" xfId="5" applyFont="1" applyBorder="1" applyAlignment="1">
      <alignment horizontal="center"/>
    </xf>
    <xf numFmtId="0" fontId="7" fillId="5" borderId="14" xfId="5" applyFont="1" applyBorder="1" applyAlignment="1">
      <alignment horizontal="center"/>
    </xf>
    <xf numFmtId="0" fontId="7" fillId="5" borderId="13" xfId="5" applyFont="1" applyBorder="1" applyAlignment="1">
      <alignment horizontal="center"/>
    </xf>
    <xf numFmtId="0" fontId="7" fillId="5" borderId="55" xfId="5" applyFont="1" applyBorder="1" applyAlignment="1">
      <alignment horizontal="center"/>
    </xf>
    <xf numFmtId="10" fontId="7" fillId="5" borderId="17" xfId="5" applyNumberFormat="1" applyFont="1" applyBorder="1" applyAlignment="1">
      <alignment horizontal="center"/>
    </xf>
    <xf numFmtId="0" fontId="27" fillId="2" borderId="32" xfId="2" applyFont="1" applyBorder="1" applyAlignment="1">
      <alignment horizontal="center" vertical="center"/>
    </xf>
    <xf numFmtId="0" fontId="27" fillId="2" borderId="33" xfId="2" applyFont="1" applyBorder="1" applyAlignment="1">
      <alignment horizontal="center" vertical="center"/>
    </xf>
    <xf numFmtId="0" fontId="27" fillId="4" borderId="32" xfId="4" applyFont="1" applyBorder="1" applyAlignment="1">
      <alignment horizontal="center"/>
    </xf>
    <xf numFmtId="0" fontId="27" fillId="4" borderId="33" xfId="4" applyFont="1" applyBorder="1" applyAlignment="1">
      <alignment horizontal="center"/>
    </xf>
    <xf numFmtId="0" fontId="27" fillId="4" borderId="34" xfId="4" applyFont="1" applyBorder="1" applyAlignment="1">
      <alignment horizontal="center"/>
    </xf>
    <xf numFmtId="0" fontId="10" fillId="2" borderId="42" xfId="2" applyFont="1" applyBorder="1" applyAlignment="1">
      <alignment horizontal="center"/>
    </xf>
    <xf numFmtId="0" fontId="10" fillId="2" borderId="3" xfId="2" applyFont="1" applyBorder="1" applyAlignment="1">
      <alignment horizontal="center"/>
    </xf>
    <xf numFmtId="0" fontId="10" fillId="2" borderId="2" xfId="2" applyFont="1" applyBorder="1" applyAlignment="1">
      <alignment horizontal="center"/>
    </xf>
    <xf numFmtId="0" fontId="7" fillId="5" borderId="0" xfId="5" applyFont="1" applyBorder="1" applyAlignment="1">
      <alignment horizontal="center"/>
    </xf>
    <xf numFmtId="0" fontId="7" fillId="5" borderId="10" xfId="5" applyFont="1" applyBorder="1" applyAlignment="1">
      <alignment horizontal="center"/>
    </xf>
    <xf numFmtId="0" fontId="10" fillId="2" borderId="37" xfId="2" applyFont="1" applyBorder="1" applyAlignment="1">
      <alignment horizontal="center"/>
    </xf>
    <xf numFmtId="0" fontId="10" fillId="2" borderId="8" xfId="2" applyFont="1" applyBorder="1" applyAlignment="1">
      <alignment horizontal="center"/>
    </xf>
    <xf numFmtId="0" fontId="10" fillId="2" borderId="5" xfId="2" applyFont="1" applyBorder="1" applyAlignment="1">
      <alignment horizontal="center"/>
    </xf>
    <xf numFmtId="0" fontId="10" fillId="2" borderId="42" xfId="2" applyFont="1" applyBorder="1" applyAlignment="1">
      <alignment horizontal="center" vertical="center" wrapText="1"/>
    </xf>
    <xf numFmtId="0" fontId="10" fillId="2" borderId="3" xfId="2" applyFont="1" applyBorder="1" applyAlignment="1">
      <alignment horizontal="center" vertical="center" wrapText="1"/>
    </xf>
    <xf numFmtId="0" fontId="10" fillId="2" borderId="2" xfId="2" applyFont="1" applyBorder="1" applyAlignment="1">
      <alignment horizontal="center" vertical="center" wrapText="1"/>
    </xf>
    <xf numFmtId="0" fontId="7" fillId="5" borderId="43" xfId="5" applyFont="1" applyBorder="1" applyAlignment="1">
      <alignment horizontal="center"/>
    </xf>
    <xf numFmtId="0" fontId="7" fillId="5" borderId="29" xfId="5" applyFont="1" applyBorder="1" applyAlignment="1">
      <alignment horizontal="center"/>
    </xf>
    <xf numFmtId="0" fontId="7" fillId="5" borderId="30" xfId="5" applyFont="1" applyBorder="1" applyAlignment="1">
      <alignment horizontal="center"/>
    </xf>
    <xf numFmtId="0" fontId="7" fillId="5" borderId="53" xfId="5" applyFont="1" applyBorder="1" applyAlignment="1">
      <alignment horizontal="center" vertical="center"/>
    </xf>
    <xf numFmtId="0" fontId="7" fillId="5" borderId="16" xfId="5" applyFont="1" applyBorder="1" applyAlignment="1">
      <alignment horizontal="center" vertical="center"/>
    </xf>
    <xf numFmtId="0" fontId="7" fillId="5" borderId="44" xfId="5" applyFont="1" applyBorder="1" applyAlignment="1">
      <alignment horizontal="center" vertical="center"/>
    </xf>
    <xf numFmtId="0" fontId="7" fillId="5" borderId="45" xfId="5" applyFont="1" applyBorder="1" applyAlignment="1">
      <alignment horizontal="center" vertical="center"/>
    </xf>
    <xf numFmtId="0" fontId="7" fillId="5" borderId="55" xfId="5" applyFont="1" applyBorder="1" applyAlignment="1">
      <alignment horizontal="center" vertical="center"/>
    </xf>
    <xf numFmtId="0" fontId="7" fillId="5" borderId="46" xfId="5" applyFont="1" applyBorder="1" applyAlignment="1">
      <alignment horizontal="center" vertical="center"/>
    </xf>
    <xf numFmtId="0" fontId="7" fillId="5" borderId="56" xfId="5" applyFont="1" applyBorder="1" applyAlignment="1">
      <alignment horizontal="center" vertical="center"/>
    </xf>
    <xf numFmtId="0" fontId="7" fillId="5" borderId="57" xfId="5" applyFont="1" applyBorder="1" applyAlignment="1">
      <alignment horizontal="center" vertical="center"/>
    </xf>
    <xf numFmtId="2" fontId="7" fillId="5" borderId="43" xfId="5" applyNumberFormat="1" applyFont="1" applyBorder="1" applyAlignment="1">
      <alignment horizontal="center" vertical="center"/>
    </xf>
    <xf numFmtId="0" fontId="7" fillId="5" borderId="59" xfId="5" applyFont="1" applyBorder="1" applyAlignment="1">
      <alignment horizontal="center" vertical="center"/>
    </xf>
    <xf numFmtId="0" fontId="23" fillId="19" borderId="92" xfId="0" applyFont="1" applyFill="1" applyBorder="1" applyAlignment="1">
      <alignment horizontal="center" vertical="center" wrapText="1"/>
    </xf>
    <xf numFmtId="0" fontId="16" fillId="31" borderId="50" xfId="15" applyFont="1" applyBorder="1" applyAlignment="1">
      <alignment horizontal="center" vertical="center" wrapText="1"/>
    </xf>
    <xf numFmtId="0" fontId="16" fillId="31" borderId="51" xfId="15" applyFont="1" applyBorder="1" applyAlignment="1">
      <alignment horizontal="center" vertical="center" wrapText="1"/>
    </xf>
    <xf numFmtId="0" fontId="16" fillId="31" borderId="52" xfId="15" applyFont="1" applyBorder="1" applyAlignment="1">
      <alignment horizontal="center" vertical="center" wrapText="1"/>
    </xf>
    <xf numFmtId="0" fontId="16" fillId="31" borderId="44" xfId="15" applyFont="1" applyBorder="1" applyAlignment="1">
      <alignment horizontal="center" vertical="center" wrapText="1"/>
    </xf>
    <xf numFmtId="0" fontId="16" fillId="31" borderId="47" xfId="15" applyFont="1" applyBorder="1" applyAlignment="1">
      <alignment horizontal="center" vertical="center" wrapText="1"/>
    </xf>
    <xf numFmtId="0" fontId="16" fillId="31" borderId="48" xfId="15" applyFont="1" applyBorder="1" applyAlignment="1">
      <alignment horizontal="center" vertical="center" wrapText="1"/>
    </xf>
    <xf numFmtId="0" fontId="7" fillId="30" borderId="50" xfId="14" applyFont="1" applyBorder="1" applyAlignment="1">
      <alignment horizontal="center" vertical="center"/>
    </xf>
    <xf numFmtId="0" fontId="7" fillId="30" borderId="51" xfId="14" applyFont="1" applyBorder="1" applyAlignment="1">
      <alignment horizontal="center" vertical="center"/>
    </xf>
    <xf numFmtId="0" fontId="7" fillId="30" borderId="52" xfId="14" applyFont="1" applyBorder="1" applyAlignment="1">
      <alignment horizontal="center" vertical="center"/>
    </xf>
    <xf numFmtId="0" fontId="9" fillId="0" borderId="20"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8" fillId="12" borderId="82" xfId="0" applyFont="1" applyFill="1" applyBorder="1" applyAlignment="1">
      <alignment horizontal="center"/>
    </xf>
    <xf numFmtId="0" fontId="18" fillId="12" borderId="83" xfId="0" applyFont="1" applyFill="1" applyBorder="1" applyAlignment="1">
      <alignment horizontal="center"/>
    </xf>
    <xf numFmtId="0" fontId="18" fillId="12" borderId="84" xfId="0" applyFont="1" applyFill="1" applyBorder="1" applyAlignment="1">
      <alignment horizontal="center"/>
    </xf>
    <xf numFmtId="0" fontId="18" fillId="13" borderId="85" xfId="0" applyFont="1" applyFill="1" applyBorder="1" applyAlignment="1">
      <alignment horizontal="center"/>
    </xf>
    <xf numFmtId="0" fontId="18" fillId="14" borderId="86" xfId="0" applyFont="1" applyFill="1" applyBorder="1" applyAlignment="1">
      <alignment horizontal="center"/>
    </xf>
    <xf numFmtId="0" fontId="18" fillId="14" borderId="83" xfId="0" applyFont="1" applyFill="1" applyBorder="1" applyAlignment="1">
      <alignment horizontal="center"/>
    </xf>
    <xf numFmtId="0" fontId="18" fillId="14" borderId="87" xfId="0" applyFont="1" applyFill="1" applyBorder="1" applyAlignment="1">
      <alignment horizontal="center"/>
    </xf>
    <xf numFmtId="0" fontId="21" fillId="19" borderId="92" xfId="0" applyFont="1" applyFill="1" applyBorder="1" applyAlignment="1">
      <alignment horizontal="center" vertical="center"/>
    </xf>
    <xf numFmtId="0" fontId="2" fillId="0" borderId="0" xfId="9" applyAlignment="1">
      <alignment horizontal="left"/>
    </xf>
    <xf numFmtId="0" fontId="24" fillId="20" borderId="92" xfId="0" applyFont="1" applyFill="1" applyBorder="1" applyAlignment="1">
      <alignment horizontal="center" vertical="center"/>
    </xf>
    <xf numFmtId="0" fontId="16" fillId="12" borderId="50" xfId="0" applyFont="1" applyFill="1" applyBorder="1" applyAlignment="1">
      <alignment horizontal="center" vertical="center" wrapText="1"/>
    </xf>
    <xf numFmtId="0" fontId="16" fillId="12" borderId="51" xfId="0" applyFont="1" applyFill="1" applyBorder="1" applyAlignment="1">
      <alignment horizontal="center" vertical="center" wrapText="1"/>
    </xf>
    <xf numFmtId="0" fontId="16" fillId="12" borderId="52" xfId="0" applyFont="1" applyFill="1" applyBorder="1" applyAlignment="1">
      <alignment horizontal="center" vertical="center" wrapText="1"/>
    </xf>
    <xf numFmtId="0" fontId="16" fillId="12" borderId="44" xfId="0" applyFont="1" applyFill="1" applyBorder="1" applyAlignment="1">
      <alignment horizontal="center" vertical="center" wrapText="1"/>
    </xf>
    <xf numFmtId="0" fontId="16" fillId="12" borderId="47" xfId="0" applyFont="1" applyFill="1" applyBorder="1" applyAlignment="1">
      <alignment horizontal="center" vertical="center" wrapText="1"/>
    </xf>
    <xf numFmtId="0" fontId="16" fillId="12" borderId="48" xfId="0" applyFont="1" applyFill="1" applyBorder="1" applyAlignment="1">
      <alignment horizontal="center" vertical="center" wrapText="1"/>
    </xf>
    <xf numFmtId="0" fontId="7" fillId="22" borderId="93" xfId="0" applyFont="1" applyFill="1" applyBorder="1" applyAlignment="1">
      <alignment horizont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39" xfId="0" applyFont="1" applyBorder="1" applyAlignment="1">
      <alignment horizontal="center" vertical="center"/>
    </xf>
    <xf numFmtId="0" fontId="7" fillId="0" borderId="0" xfId="0" applyFont="1" applyAlignment="1">
      <alignment horizontal="left" vertical="center" wrapText="1"/>
    </xf>
    <xf numFmtId="0" fontId="11" fillId="17" borderId="92" xfId="0" applyFont="1" applyFill="1" applyBorder="1" applyAlignment="1">
      <alignment horizontal="center"/>
    </xf>
    <xf numFmtId="0" fontId="11" fillId="29" borderId="32" xfId="0" applyFont="1" applyFill="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7" fillId="28" borderId="0" xfId="0" applyFont="1" applyFill="1" applyAlignment="1">
      <alignment horizontal="center"/>
    </xf>
    <xf numFmtId="0" fontId="7" fillId="0" borderId="0" xfId="0" applyFont="1"/>
    <xf numFmtId="0" fontId="17" fillId="27" borderId="0" xfId="0" applyFont="1" applyFill="1" applyAlignment="1">
      <alignment horizontal="center"/>
    </xf>
    <xf numFmtId="0" fontId="11" fillId="29" borderId="32" xfId="0" applyFont="1" applyFill="1" applyBorder="1" applyAlignment="1">
      <alignment horizontal="center" vertical="center" wrapText="1"/>
    </xf>
    <xf numFmtId="0" fontId="13" fillId="0" borderId="33" xfId="0" applyFont="1" applyBorder="1" applyAlignment="1">
      <alignment horizontal="center" vertical="center" wrapText="1"/>
    </xf>
    <xf numFmtId="0" fontId="17" fillId="29" borderId="0" xfId="0" applyFont="1" applyFill="1" applyAlignment="1">
      <alignment horizontal="center"/>
    </xf>
    <xf numFmtId="0" fontId="7" fillId="0" borderId="0" xfId="0" applyFont="1" applyAlignment="1">
      <alignment horizontal="center"/>
    </xf>
    <xf numFmtId="0" fontId="14" fillId="14" borderId="4" xfId="0" applyFont="1" applyFill="1" applyBorder="1" applyAlignment="1">
      <alignment horizontal="center" vertical="center"/>
    </xf>
    <xf numFmtId="0" fontId="14" fillId="14" borderId="8" xfId="0" applyFont="1" applyFill="1" applyBorder="1" applyAlignment="1">
      <alignment horizontal="center" vertical="center"/>
    </xf>
    <xf numFmtId="0" fontId="14" fillId="14" borderId="5" xfId="0" applyFont="1" applyFill="1" applyBorder="1" applyAlignment="1">
      <alignment horizontal="center" vertical="center"/>
    </xf>
    <xf numFmtId="0" fontId="14" fillId="14" borderId="9" xfId="0" applyFont="1" applyFill="1" applyBorder="1" applyAlignment="1">
      <alignment horizontal="center" vertical="center"/>
    </xf>
    <xf numFmtId="0" fontId="14" fillId="14" borderId="0" xfId="0" applyFont="1" applyFill="1" applyAlignment="1">
      <alignment horizontal="center" vertical="center"/>
    </xf>
    <xf numFmtId="0" fontId="14" fillId="14" borderId="10" xfId="0" applyFont="1" applyFill="1" applyBorder="1" applyAlignment="1">
      <alignment horizontal="center" vertical="center"/>
    </xf>
    <xf numFmtId="0" fontId="14" fillId="14" borderId="6" xfId="0" applyFont="1" applyFill="1" applyBorder="1" applyAlignment="1">
      <alignment horizontal="center" vertical="center"/>
    </xf>
    <xf numFmtId="0" fontId="14" fillId="14" borderId="11" xfId="0" applyFont="1" applyFill="1" applyBorder="1" applyAlignment="1">
      <alignment horizontal="center" vertical="center"/>
    </xf>
    <xf numFmtId="0" fontId="14" fillId="14" borderId="7" xfId="0" applyFont="1" applyFill="1" applyBorder="1" applyAlignment="1">
      <alignment horizontal="center" vertical="center"/>
    </xf>
    <xf numFmtId="0" fontId="14" fillId="14" borderId="4" xfId="0" applyFont="1" applyFill="1" applyBorder="1" applyAlignment="1">
      <alignment horizontal="center"/>
    </xf>
    <xf numFmtId="0" fontId="14" fillId="14" borderId="8" xfId="0" applyFont="1" applyFill="1" applyBorder="1" applyAlignment="1">
      <alignment horizontal="center"/>
    </xf>
    <xf numFmtId="0" fontId="14" fillId="14" borderId="5" xfId="0" applyFont="1" applyFill="1" applyBorder="1" applyAlignment="1">
      <alignment horizontal="center"/>
    </xf>
    <xf numFmtId="0" fontId="14" fillId="14" borderId="9" xfId="0" applyFont="1" applyFill="1" applyBorder="1" applyAlignment="1">
      <alignment horizontal="center"/>
    </xf>
    <xf numFmtId="0" fontId="14" fillId="14" borderId="0" xfId="0" applyFont="1" applyFill="1" applyAlignment="1">
      <alignment horizontal="center"/>
    </xf>
    <xf numFmtId="0" fontId="14" fillId="14" borderId="10" xfId="0" applyFont="1" applyFill="1" applyBorder="1" applyAlignment="1">
      <alignment horizontal="center"/>
    </xf>
    <xf numFmtId="0" fontId="14" fillId="14" borderId="6" xfId="0" applyFont="1" applyFill="1" applyBorder="1" applyAlignment="1">
      <alignment horizontal="center"/>
    </xf>
    <xf numFmtId="0" fontId="14" fillId="14" borderId="11" xfId="0" applyFont="1" applyFill="1" applyBorder="1" applyAlignment="1">
      <alignment horizontal="center"/>
    </xf>
    <xf numFmtId="0" fontId="14" fillId="14" borderId="7" xfId="0" applyFont="1" applyFill="1" applyBorder="1" applyAlignment="1">
      <alignment horizontal="center"/>
    </xf>
    <xf numFmtId="0" fontId="9" fillId="14" borderId="83" xfId="0" applyFont="1" applyFill="1" applyBorder="1" applyAlignment="1">
      <alignment horizontal="center" vertical="center" wrapText="1"/>
    </xf>
    <xf numFmtId="168" fontId="10" fillId="17" borderId="32" xfId="1" applyNumberFormat="1" applyFont="1" applyFill="1" applyBorder="1" applyAlignment="1">
      <alignment horizontal="center"/>
    </xf>
    <xf numFmtId="168" fontId="10" fillId="17" borderId="34" xfId="1" applyNumberFormat="1" applyFont="1" applyFill="1" applyBorder="1" applyAlignment="1">
      <alignment horizontal="center"/>
    </xf>
    <xf numFmtId="0" fontId="11" fillId="17" borderId="88" xfId="6" applyFont="1" applyFill="1" applyBorder="1" applyAlignment="1">
      <alignment horizontal="center"/>
    </xf>
    <xf numFmtId="0" fontId="11" fillId="17" borderId="17" xfId="6" applyFont="1" applyFill="1" applyBorder="1" applyAlignment="1">
      <alignment horizontal="center"/>
    </xf>
    <xf numFmtId="0" fontId="10" fillId="17" borderId="124" xfId="0" applyFont="1" applyFill="1" applyBorder="1" applyAlignment="1">
      <alignment horizontal="center"/>
    </xf>
    <xf numFmtId="0" fontId="10" fillId="17" borderId="125" xfId="0" applyFont="1" applyFill="1" applyBorder="1" applyAlignment="1">
      <alignment horizontal="center"/>
    </xf>
    <xf numFmtId="0" fontId="10" fillId="17" borderId="51" xfId="0" applyFont="1" applyFill="1" applyBorder="1" applyAlignment="1">
      <alignment horizontal="center"/>
    </xf>
    <xf numFmtId="0" fontId="10" fillId="17" borderId="12" xfId="0" applyFont="1" applyFill="1" applyBorder="1" applyAlignment="1">
      <alignment horizontal="center"/>
    </xf>
    <xf numFmtId="0" fontId="12" fillId="14" borderId="68" xfId="0" applyFont="1" applyFill="1" applyBorder="1" applyAlignment="1">
      <alignment horizontal="center" vertical="center"/>
    </xf>
    <xf numFmtId="0" fontId="12" fillId="14" borderId="69" xfId="0" applyFont="1" applyFill="1" applyBorder="1" applyAlignment="1">
      <alignment horizontal="center" vertical="center"/>
    </xf>
    <xf numFmtId="0" fontId="12" fillId="14" borderId="122" xfId="0" applyFont="1" applyFill="1" applyBorder="1" applyAlignment="1">
      <alignment horizontal="center" vertical="center"/>
    </xf>
    <xf numFmtId="168" fontId="10" fillId="17" borderId="32" xfId="1" applyNumberFormat="1" applyFont="1" applyFill="1" applyBorder="1" applyAlignment="1">
      <alignment horizontal="center" vertical="center"/>
    </xf>
    <xf numFmtId="168" fontId="10" fillId="17" borderId="34" xfId="1" applyNumberFormat="1" applyFont="1" applyFill="1" applyBorder="1" applyAlignment="1">
      <alignment horizontal="center" vertical="center"/>
    </xf>
    <xf numFmtId="0" fontId="2" fillId="0" borderId="0" xfId="9" applyFill="1" applyBorder="1" applyAlignment="1">
      <alignment horizontal="left"/>
    </xf>
    <xf numFmtId="0" fontId="10" fillId="16" borderId="69" xfId="0" applyFont="1" applyFill="1" applyBorder="1" applyAlignment="1">
      <alignment horizontal="center"/>
    </xf>
    <xf numFmtId="0" fontId="7" fillId="35" borderId="1" xfId="0" applyFont="1" applyFill="1" applyBorder="1" applyAlignment="1">
      <alignment horizontal="center"/>
    </xf>
    <xf numFmtId="0" fontId="7" fillId="35" borderId="3" xfId="0" applyFont="1" applyFill="1" applyBorder="1" applyAlignment="1">
      <alignment horizontal="center"/>
    </xf>
    <xf numFmtId="0" fontId="7" fillId="35" borderId="2" xfId="0" applyFont="1" applyFill="1" applyBorder="1" applyAlignment="1">
      <alignment horizontal="center"/>
    </xf>
    <xf numFmtId="0" fontId="7" fillId="36" borderId="111" xfId="0" applyFont="1" applyFill="1" applyBorder="1" applyAlignment="1">
      <alignment horizontal="center" vertical="center"/>
    </xf>
    <xf numFmtId="0" fontId="7" fillId="36" borderId="112" xfId="0" applyFont="1" applyFill="1" applyBorder="1" applyAlignment="1">
      <alignment horizontal="center" vertical="center"/>
    </xf>
    <xf numFmtId="0" fontId="7" fillId="36" borderId="113" xfId="0" applyFont="1" applyFill="1" applyBorder="1" applyAlignment="1">
      <alignment horizontal="center" vertical="center"/>
    </xf>
    <xf numFmtId="0" fontId="7" fillId="36" borderId="114" xfId="0" applyFont="1" applyFill="1" applyBorder="1" applyAlignment="1">
      <alignment horizontal="center" vertical="center"/>
    </xf>
    <xf numFmtId="0" fontId="7" fillId="7" borderId="0" xfId="7" applyFont="1" applyBorder="1" applyAlignment="1">
      <alignment horizontal="center" wrapText="1"/>
    </xf>
    <xf numFmtId="0" fontId="7" fillId="7" borderId="10" xfId="7" applyFont="1" applyBorder="1" applyAlignment="1">
      <alignment horizontal="center" wrapText="1"/>
    </xf>
    <xf numFmtId="9" fontId="7" fillId="23" borderId="23" xfId="1" applyFont="1" applyFill="1" applyBorder="1" applyAlignment="1" applyProtection="1">
      <alignment horizontal="center"/>
      <protection locked="0"/>
    </xf>
    <xf numFmtId="9" fontId="7" fillId="23" borderId="127" xfId="1" applyFont="1" applyFill="1" applyBorder="1" applyAlignment="1" applyProtection="1">
      <alignment horizontal="center"/>
      <protection locked="0"/>
    </xf>
    <xf numFmtId="0" fontId="7" fillId="35" borderId="4" xfId="0" applyFont="1" applyFill="1" applyBorder="1" applyAlignment="1">
      <alignment horizontal="center"/>
    </xf>
    <xf numFmtId="0" fontId="7" fillId="35" borderId="8" xfId="0" applyFont="1" applyFill="1" applyBorder="1" applyAlignment="1">
      <alignment horizontal="center"/>
    </xf>
    <xf numFmtId="0" fontId="7" fillId="35" borderId="5" xfId="0" applyFont="1" applyFill="1" applyBorder="1" applyAlignment="1">
      <alignment horizontal="center"/>
    </xf>
    <xf numFmtId="165" fontId="7" fillId="23" borderId="23" xfId="1" applyNumberFormat="1" applyFont="1" applyFill="1" applyBorder="1" applyAlignment="1" applyProtection="1">
      <alignment horizontal="center"/>
      <protection locked="0"/>
    </xf>
    <xf numFmtId="165" fontId="7" fillId="23" borderId="127" xfId="1" applyNumberFormat="1" applyFont="1" applyFill="1" applyBorder="1" applyAlignment="1" applyProtection="1">
      <alignment horizontal="center"/>
      <protection locked="0"/>
    </xf>
    <xf numFmtId="0" fontId="7" fillId="35" borderId="68" xfId="0" applyFont="1" applyFill="1" applyBorder="1" applyAlignment="1">
      <alignment horizontal="center"/>
    </xf>
    <xf numFmtId="0" fontId="7" fillId="35" borderId="69" xfId="0" applyFont="1" applyFill="1" applyBorder="1" applyAlignment="1">
      <alignment horizontal="center"/>
    </xf>
    <xf numFmtId="0" fontId="7" fillId="35" borderId="70" xfId="0" applyFont="1" applyFill="1" applyBorder="1" applyAlignment="1">
      <alignment horizontal="center"/>
    </xf>
    <xf numFmtId="0" fontId="7" fillId="33" borderId="9" xfId="2" applyFont="1" applyFill="1" applyBorder="1" applyAlignment="1">
      <alignment horizontal="center" vertical="center"/>
    </xf>
    <xf numFmtId="0" fontId="7" fillId="33" borderId="0" xfId="2" applyFont="1" applyFill="1" applyBorder="1" applyAlignment="1">
      <alignment horizontal="center" vertical="center"/>
    </xf>
    <xf numFmtId="0" fontId="7" fillId="33" borderId="10" xfId="2" applyFont="1" applyFill="1" applyBorder="1" applyAlignment="1">
      <alignment horizontal="center" vertical="center"/>
    </xf>
    <xf numFmtId="0" fontId="7" fillId="36" borderId="105" xfId="0" applyFont="1" applyFill="1" applyBorder="1" applyAlignment="1">
      <alignment horizontal="center" vertical="center"/>
    </xf>
    <xf numFmtId="0" fontId="7" fillId="36" borderId="107" xfId="0" applyFont="1" applyFill="1" applyBorder="1" applyAlignment="1">
      <alignment horizontal="center" vertical="center"/>
    </xf>
    <xf numFmtId="0" fontId="7" fillId="32" borderId="0" xfId="7" applyFont="1" applyFill="1" applyBorder="1" applyAlignment="1">
      <alignment horizontal="center"/>
    </xf>
    <xf numFmtId="0" fontId="7" fillId="32" borderId="10" xfId="7" applyFont="1" applyFill="1" applyBorder="1" applyAlignment="1">
      <alignment horizontal="center"/>
    </xf>
    <xf numFmtId="0" fontId="7" fillId="23" borderId="127" xfId="8" applyFont="1" applyFill="1" applyBorder="1" applyAlignment="1" applyProtection="1">
      <alignment horizontal="center"/>
      <protection locked="0"/>
    </xf>
    <xf numFmtId="165" fontId="7" fillId="7" borderId="0" xfId="7" applyNumberFormat="1" applyFont="1" applyBorder="1" applyAlignment="1">
      <alignment horizontal="center"/>
    </xf>
    <xf numFmtId="0" fontId="7" fillId="2" borderId="9" xfId="2" applyFont="1" applyBorder="1" applyAlignment="1">
      <alignment horizontal="center" vertical="center" wrapText="1"/>
    </xf>
    <xf numFmtId="0" fontId="7" fillId="2" borderId="0" xfId="2" applyFont="1" applyBorder="1" applyAlignment="1">
      <alignment horizontal="center" vertical="center" wrapText="1"/>
    </xf>
    <xf numFmtId="0" fontId="7" fillId="2" borderId="10" xfId="2" applyFont="1" applyBorder="1" applyAlignment="1">
      <alignment horizontal="center" vertical="center" wrapText="1"/>
    </xf>
    <xf numFmtId="0" fontId="7" fillId="2" borderId="9" xfId="2" applyFont="1" applyBorder="1" applyAlignment="1">
      <alignment horizontal="center" vertical="center"/>
    </xf>
    <xf numFmtId="0" fontId="7" fillId="2" borderId="0" xfId="2" applyFont="1" applyBorder="1" applyAlignment="1">
      <alignment horizontal="center" vertical="center"/>
    </xf>
    <xf numFmtId="0" fontId="7" fillId="2" borderId="10" xfId="2" applyFont="1" applyBorder="1" applyAlignment="1">
      <alignment horizontal="center" vertical="center"/>
    </xf>
    <xf numFmtId="0" fontId="9" fillId="14" borderId="1" xfId="4" applyFont="1" applyFill="1" applyBorder="1" applyAlignment="1">
      <alignment horizontal="center"/>
    </xf>
    <xf numFmtId="0" fontId="9" fillId="14" borderId="3" xfId="4" applyFont="1" applyFill="1" applyBorder="1" applyAlignment="1">
      <alignment horizontal="center"/>
    </xf>
    <xf numFmtId="0" fontId="9" fillId="14" borderId="2" xfId="4" applyFont="1" applyFill="1" applyBorder="1" applyAlignment="1">
      <alignment horizontal="center"/>
    </xf>
    <xf numFmtId="0" fontId="9" fillId="34" borderId="1" xfId="4" applyFont="1" applyFill="1" applyBorder="1" applyAlignment="1">
      <alignment horizontal="center"/>
    </xf>
    <xf numFmtId="0" fontId="9" fillId="34" borderId="3" xfId="4" applyFont="1" applyFill="1" applyBorder="1" applyAlignment="1">
      <alignment horizontal="center"/>
    </xf>
    <xf numFmtId="0" fontId="9" fillId="34" borderId="2" xfId="4" applyFont="1" applyFill="1" applyBorder="1" applyAlignment="1">
      <alignment horizontal="center"/>
    </xf>
    <xf numFmtId="0" fontId="7" fillId="35" borderId="4" xfId="0" applyFont="1" applyFill="1" applyBorder="1" applyAlignment="1">
      <alignment horizontal="center" wrapText="1"/>
    </xf>
    <xf numFmtId="0" fontId="7" fillId="35" borderId="8" xfId="0" applyFont="1" applyFill="1" applyBorder="1" applyAlignment="1">
      <alignment horizontal="center" wrapText="1"/>
    </xf>
    <xf numFmtId="0" fontId="7" fillId="35" borderId="5" xfId="0" applyFont="1" applyFill="1" applyBorder="1" applyAlignment="1">
      <alignment horizontal="center" wrapText="1"/>
    </xf>
    <xf numFmtId="0" fontId="7" fillId="32" borderId="64" xfId="7" applyFont="1" applyFill="1" applyBorder="1" applyAlignment="1">
      <alignment horizontal="center"/>
    </xf>
    <xf numFmtId="0" fontId="7" fillId="32" borderId="128" xfId="7" applyFont="1" applyFill="1" applyBorder="1" applyAlignment="1">
      <alignment horizontal="center"/>
    </xf>
    <xf numFmtId="10" fontId="7" fillId="23" borderId="20" xfId="8" applyNumberFormat="1" applyFont="1" applyFill="1" applyBorder="1" applyAlignment="1" applyProtection="1">
      <alignment horizontal="center"/>
      <protection locked="0"/>
    </xf>
    <xf numFmtId="165" fontId="7" fillId="7" borderId="11" xfId="7" applyNumberFormat="1" applyFont="1" applyBorder="1" applyAlignment="1">
      <alignment horizontal="center"/>
    </xf>
    <xf numFmtId="165" fontId="7" fillId="7" borderId="7" xfId="7" applyNumberFormat="1" applyFont="1" applyBorder="1" applyAlignment="1">
      <alignment horizontal="center"/>
    </xf>
    <xf numFmtId="0" fontId="9" fillId="2" borderId="1" xfId="2" applyFont="1" applyBorder="1" applyAlignment="1">
      <alignment horizontal="center"/>
    </xf>
    <xf numFmtId="0" fontId="9" fillId="2" borderId="3" xfId="2" applyFont="1" applyBorder="1" applyAlignment="1">
      <alignment horizontal="center"/>
    </xf>
    <xf numFmtId="0" fontId="9" fillId="2" borderId="2" xfId="2" applyFont="1" applyBorder="1" applyAlignment="1">
      <alignment horizontal="center"/>
    </xf>
    <xf numFmtId="0" fontId="7" fillId="2" borderId="9" xfId="2" applyFont="1" applyBorder="1" applyAlignment="1">
      <alignment horizontal="center" wrapText="1"/>
    </xf>
  </cellXfs>
  <cellStyles count="17">
    <cellStyle name="20% - Accent4" xfId="10" builtinId="42"/>
    <cellStyle name="40% - Accent1" xfId="7" builtinId="31"/>
    <cellStyle name="40% - Accent3" xfId="8" builtinId="39"/>
    <cellStyle name="40% - Accent4" xfId="11" builtinId="43"/>
    <cellStyle name="40% - Accent5" xfId="5" builtinId="47"/>
    <cellStyle name="40% - Accent6" xfId="6" builtinId="51"/>
    <cellStyle name="60% - Accent1" xfId="2" builtinId="32"/>
    <cellStyle name="60% - Accent2" xfId="14" builtinId="36"/>
    <cellStyle name="60% - Accent3" xfId="3" builtinId="40"/>
    <cellStyle name="60% - Accent5" xfId="15" builtinId="48"/>
    <cellStyle name="60% - Accent6" xfId="4" builtinId="52"/>
    <cellStyle name="Accent6" xfId="13" builtinId="49"/>
    <cellStyle name="Bad" xfId="12" builtinId="27"/>
    <cellStyle name="Heading 1" xfId="16" builtinId="16"/>
    <cellStyle name="Hyperlink" xfId="9" builtinId="8"/>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8</xdr:row>
      <xdr:rowOff>0</xdr:rowOff>
    </xdr:to>
    <xdr:cxnSp macro="">
      <xdr:nvCxnSpPr>
        <xdr:cNvPr id="3" name="Straight Arrow Connector 2">
          <a:extLst>
            <a:ext uri="{FF2B5EF4-FFF2-40B4-BE49-F238E27FC236}">
              <a16:creationId xmlns:a16="http://schemas.microsoft.com/office/drawing/2014/main" id="{08562F33-B373-7EEB-AA7D-60E9A4AF7970}"/>
            </a:ext>
          </a:extLst>
        </xdr:cNvPr>
        <xdr:cNvCxnSpPr/>
      </xdr:nvCxnSpPr>
      <xdr:spPr>
        <a:xfrm>
          <a:off x="6372225" y="914400"/>
          <a:ext cx="609600" cy="0"/>
        </a:xfrm>
        <a:prstGeom prst="straightConnector1">
          <a:avLst/>
        </a:prstGeom>
        <a:ln w="2857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9</xdr:row>
      <xdr:rowOff>0</xdr:rowOff>
    </xdr:from>
    <xdr:to>
      <xdr:col>6</xdr:col>
      <xdr:colOff>0</xdr:colOff>
      <xdr:row>12</xdr:row>
      <xdr:rowOff>0</xdr:rowOff>
    </xdr:to>
    <xdr:cxnSp macro="">
      <xdr:nvCxnSpPr>
        <xdr:cNvPr id="5" name="Straight Arrow Connector 4">
          <a:extLst>
            <a:ext uri="{FF2B5EF4-FFF2-40B4-BE49-F238E27FC236}">
              <a16:creationId xmlns:a16="http://schemas.microsoft.com/office/drawing/2014/main" id="{86D81EC1-71A7-4168-BD13-99746E0B1D91}"/>
            </a:ext>
          </a:extLst>
        </xdr:cNvPr>
        <xdr:cNvCxnSpPr/>
      </xdr:nvCxnSpPr>
      <xdr:spPr>
        <a:xfrm>
          <a:off x="9867900" y="1123950"/>
          <a:ext cx="0" cy="628650"/>
        </a:xfrm>
        <a:prstGeom prst="straightConnector1">
          <a:avLst/>
        </a:prstGeom>
        <a:ln w="2857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0</xdr:colOff>
      <xdr:row>13</xdr:row>
      <xdr:rowOff>180975</xdr:rowOff>
    </xdr:from>
    <xdr:to>
      <xdr:col>9</xdr:col>
      <xdr:colOff>0</xdr:colOff>
      <xdr:row>13</xdr:row>
      <xdr:rowOff>180975</xdr:rowOff>
    </xdr:to>
    <xdr:cxnSp macro="">
      <xdr:nvCxnSpPr>
        <xdr:cNvPr id="2" name="Straight Arrow Connector 1">
          <a:extLst>
            <a:ext uri="{FF2B5EF4-FFF2-40B4-BE49-F238E27FC236}">
              <a16:creationId xmlns:a16="http://schemas.microsoft.com/office/drawing/2014/main" id="{247E4BC5-136A-49C8-9C1E-451CEC7110CF}"/>
            </a:ext>
          </a:extLst>
        </xdr:cNvPr>
        <xdr:cNvCxnSpPr/>
      </xdr:nvCxnSpPr>
      <xdr:spPr>
        <a:xfrm>
          <a:off x="11144250" y="2133600"/>
          <a:ext cx="1219200" cy="0"/>
        </a:xfrm>
        <a:prstGeom prst="straightConnector1">
          <a:avLst/>
        </a:prstGeom>
        <a:ln w="2857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0</xdr:colOff>
      <xdr:row>16</xdr:row>
      <xdr:rowOff>0</xdr:rowOff>
    </xdr:from>
    <xdr:to>
      <xdr:col>11</xdr:col>
      <xdr:colOff>0</xdr:colOff>
      <xdr:row>20</xdr:row>
      <xdr:rowOff>0</xdr:rowOff>
    </xdr:to>
    <xdr:cxnSp macro="">
      <xdr:nvCxnSpPr>
        <xdr:cNvPr id="7" name="Straight Arrow Connector 6">
          <a:extLst>
            <a:ext uri="{FF2B5EF4-FFF2-40B4-BE49-F238E27FC236}">
              <a16:creationId xmlns:a16="http://schemas.microsoft.com/office/drawing/2014/main" id="{8A0C7CA1-1999-4965-9C74-8AA1BC07D622}"/>
            </a:ext>
          </a:extLst>
        </xdr:cNvPr>
        <xdr:cNvCxnSpPr/>
      </xdr:nvCxnSpPr>
      <xdr:spPr>
        <a:xfrm>
          <a:off x="13582650" y="2571750"/>
          <a:ext cx="0" cy="790575"/>
        </a:xfrm>
        <a:prstGeom prst="straightConnector1">
          <a:avLst/>
        </a:prstGeom>
        <a:ln w="28575">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10</xdr:row>
      <xdr:rowOff>0</xdr:rowOff>
    </xdr:from>
    <xdr:to>
      <xdr:col>5</xdr:col>
      <xdr:colOff>0</xdr:colOff>
      <xdr:row>10</xdr:row>
      <xdr:rowOff>0</xdr:rowOff>
    </xdr:to>
    <xdr:cxnSp macro="">
      <xdr:nvCxnSpPr>
        <xdr:cNvPr id="2" name="Straight Arrow Connector 1">
          <a:extLst>
            <a:ext uri="{FF2B5EF4-FFF2-40B4-BE49-F238E27FC236}">
              <a16:creationId xmlns:a16="http://schemas.microsoft.com/office/drawing/2014/main" id="{64C47BAD-98B2-4779-AAEE-73218EFE298A}"/>
            </a:ext>
          </a:extLst>
        </xdr:cNvPr>
        <xdr:cNvCxnSpPr/>
      </xdr:nvCxnSpPr>
      <xdr:spPr>
        <a:xfrm>
          <a:off x="2971800" y="1476375"/>
          <a:ext cx="2190750" cy="0"/>
        </a:xfrm>
        <a:prstGeom prst="straightConnector1">
          <a:avLst/>
        </a:prstGeom>
        <a:ln w="28575">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228600</xdr:colOff>
      <xdr:row>13</xdr:row>
      <xdr:rowOff>0</xdr:rowOff>
    </xdr:from>
    <xdr:to>
      <xdr:col>8</xdr:col>
      <xdr:colOff>228600</xdr:colOff>
      <xdr:row>15</xdr:row>
      <xdr:rowOff>0</xdr:rowOff>
    </xdr:to>
    <xdr:cxnSp macro="">
      <xdr:nvCxnSpPr>
        <xdr:cNvPr id="3" name="Straight Arrow Connector 2">
          <a:extLst>
            <a:ext uri="{FF2B5EF4-FFF2-40B4-BE49-F238E27FC236}">
              <a16:creationId xmlns:a16="http://schemas.microsoft.com/office/drawing/2014/main" id="{D76ECFA9-43F0-4E62-BB04-FA371833B5BE}"/>
            </a:ext>
          </a:extLst>
        </xdr:cNvPr>
        <xdr:cNvCxnSpPr/>
      </xdr:nvCxnSpPr>
      <xdr:spPr>
        <a:xfrm>
          <a:off x="7219950" y="2076450"/>
          <a:ext cx="0" cy="390525"/>
        </a:xfrm>
        <a:prstGeom prst="straightConnector1">
          <a:avLst/>
        </a:prstGeom>
        <a:ln w="28575">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12</xdr:row>
      <xdr:rowOff>85725</xdr:rowOff>
    </xdr:from>
    <xdr:to>
      <xdr:col>8</xdr:col>
      <xdr:colOff>0</xdr:colOff>
      <xdr:row>31</xdr:row>
      <xdr:rowOff>104775</xdr:rowOff>
    </xdr:to>
    <xdr:cxnSp macro="">
      <xdr:nvCxnSpPr>
        <xdr:cNvPr id="3" name="Straight Arrow Connector 2">
          <a:extLst>
            <a:ext uri="{FF2B5EF4-FFF2-40B4-BE49-F238E27FC236}">
              <a16:creationId xmlns:a16="http://schemas.microsoft.com/office/drawing/2014/main" id="{834FC054-135F-7B65-77F0-89602EABEB8D}"/>
            </a:ext>
          </a:extLst>
        </xdr:cNvPr>
        <xdr:cNvCxnSpPr/>
      </xdr:nvCxnSpPr>
      <xdr:spPr>
        <a:xfrm>
          <a:off x="8172450" y="1352550"/>
          <a:ext cx="1714500" cy="3581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6</xdr:row>
      <xdr:rowOff>85725</xdr:rowOff>
    </xdr:from>
    <xdr:to>
      <xdr:col>8</xdr:col>
      <xdr:colOff>0</xdr:colOff>
      <xdr:row>30</xdr:row>
      <xdr:rowOff>104775</xdr:rowOff>
    </xdr:to>
    <xdr:cxnSp macro="">
      <xdr:nvCxnSpPr>
        <xdr:cNvPr id="6" name="Straight Arrow Connector 5">
          <a:extLst>
            <a:ext uri="{FF2B5EF4-FFF2-40B4-BE49-F238E27FC236}">
              <a16:creationId xmlns:a16="http://schemas.microsoft.com/office/drawing/2014/main" id="{02C13BE0-47DE-4402-85D8-F339758EC619}"/>
            </a:ext>
          </a:extLst>
        </xdr:cNvPr>
        <xdr:cNvCxnSpPr/>
      </xdr:nvCxnSpPr>
      <xdr:spPr>
        <a:xfrm>
          <a:off x="8172450" y="542925"/>
          <a:ext cx="1714500" cy="41814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16</xdr:row>
      <xdr:rowOff>104775</xdr:rowOff>
    </xdr:from>
    <xdr:to>
      <xdr:col>8</xdr:col>
      <xdr:colOff>0</xdr:colOff>
      <xdr:row>32</xdr:row>
      <xdr:rowOff>104775</xdr:rowOff>
    </xdr:to>
    <xdr:cxnSp macro="">
      <xdr:nvCxnSpPr>
        <xdr:cNvPr id="8" name="Straight Arrow Connector 7">
          <a:extLst>
            <a:ext uri="{FF2B5EF4-FFF2-40B4-BE49-F238E27FC236}">
              <a16:creationId xmlns:a16="http://schemas.microsoft.com/office/drawing/2014/main" id="{8AA75D82-E467-4062-ABE4-5D0E284C540E}"/>
            </a:ext>
          </a:extLst>
        </xdr:cNvPr>
        <xdr:cNvCxnSpPr/>
      </xdr:nvCxnSpPr>
      <xdr:spPr>
        <a:xfrm>
          <a:off x="8172450" y="2209800"/>
          <a:ext cx="1714500" cy="29337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66675</xdr:rowOff>
    </xdr:from>
    <xdr:to>
      <xdr:col>8</xdr:col>
      <xdr:colOff>0</xdr:colOff>
      <xdr:row>33</xdr:row>
      <xdr:rowOff>104775</xdr:rowOff>
    </xdr:to>
    <xdr:cxnSp macro="">
      <xdr:nvCxnSpPr>
        <xdr:cNvPr id="10" name="Straight Arrow Connector 9">
          <a:extLst>
            <a:ext uri="{FF2B5EF4-FFF2-40B4-BE49-F238E27FC236}">
              <a16:creationId xmlns:a16="http://schemas.microsoft.com/office/drawing/2014/main" id="{1A36E0AD-C231-4DBC-8B7C-758884FBAE6C}"/>
            </a:ext>
          </a:extLst>
        </xdr:cNvPr>
        <xdr:cNvCxnSpPr/>
      </xdr:nvCxnSpPr>
      <xdr:spPr>
        <a:xfrm>
          <a:off x="8172450" y="3638550"/>
          <a:ext cx="1714500" cy="1714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34</xdr:row>
      <xdr:rowOff>104775</xdr:rowOff>
    </xdr:from>
    <xdr:to>
      <xdr:col>8</xdr:col>
      <xdr:colOff>0</xdr:colOff>
      <xdr:row>36</xdr:row>
      <xdr:rowOff>85725</xdr:rowOff>
    </xdr:to>
    <xdr:cxnSp macro="">
      <xdr:nvCxnSpPr>
        <xdr:cNvPr id="12" name="Straight Arrow Connector 11">
          <a:extLst>
            <a:ext uri="{FF2B5EF4-FFF2-40B4-BE49-F238E27FC236}">
              <a16:creationId xmlns:a16="http://schemas.microsoft.com/office/drawing/2014/main" id="{CD1A493D-50E6-4F98-BD39-87BAAC0C27A8}"/>
            </a:ext>
          </a:extLst>
        </xdr:cNvPr>
        <xdr:cNvCxnSpPr/>
      </xdr:nvCxnSpPr>
      <xdr:spPr>
        <a:xfrm flipV="1">
          <a:off x="8172450" y="5562600"/>
          <a:ext cx="1714500" cy="4000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35</xdr:row>
      <xdr:rowOff>104775</xdr:rowOff>
    </xdr:from>
    <xdr:to>
      <xdr:col>8</xdr:col>
      <xdr:colOff>0</xdr:colOff>
      <xdr:row>47</xdr:row>
      <xdr:rowOff>0</xdr:rowOff>
    </xdr:to>
    <xdr:cxnSp macro="">
      <xdr:nvCxnSpPr>
        <xdr:cNvPr id="18" name="Straight Arrow Connector 17">
          <a:extLst>
            <a:ext uri="{FF2B5EF4-FFF2-40B4-BE49-F238E27FC236}">
              <a16:creationId xmlns:a16="http://schemas.microsoft.com/office/drawing/2014/main" id="{8E982253-D052-48C4-BA16-77F173ABB389}"/>
            </a:ext>
          </a:extLst>
        </xdr:cNvPr>
        <xdr:cNvCxnSpPr/>
      </xdr:nvCxnSpPr>
      <xdr:spPr>
        <a:xfrm flipV="1">
          <a:off x="8172450" y="5772150"/>
          <a:ext cx="1714500" cy="24098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36</xdr:row>
      <xdr:rowOff>104775</xdr:rowOff>
    </xdr:from>
    <xdr:to>
      <xdr:col>8</xdr:col>
      <xdr:colOff>0</xdr:colOff>
      <xdr:row>58</xdr:row>
      <xdr:rowOff>0</xdr:rowOff>
    </xdr:to>
    <xdr:cxnSp macro="">
      <xdr:nvCxnSpPr>
        <xdr:cNvPr id="20" name="Straight Arrow Connector 19">
          <a:extLst>
            <a:ext uri="{FF2B5EF4-FFF2-40B4-BE49-F238E27FC236}">
              <a16:creationId xmlns:a16="http://schemas.microsoft.com/office/drawing/2014/main" id="{D97EC03F-49CC-4A80-B903-FD3552C93562}"/>
            </a:ext>
          </a:extLst>
        </xdr:cNvPr>
        <xdr:cNvCxnSpPr/>
      </xdr:nvCxnSpPr>
      <xdr:spPr>
        <a:xfrm flipV="1">
          <a:off x="8172450" y="5981700"/>
          <a:ext cx="1714500" cy="45053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37</xdr:row>
      <xdr:rowOff>104775</xdr:rowOff>
    </xdr:from>
    <xdr:to>
      <xdr:col>8</xdr:col>
      <xdr:colOff>0</xdr:colOff>
      <xdr:row>68</xdr:row>
      <xdr:rowOff>133350</xdr:rowOff>
    </xdr:to>
    <xdr:cxnSp macro="">
      <xdr:nvCxnSpPr>
        <xdr:cNvPr id="22" name="Straight Arrow Connector 21">
          <a:extLst>
            <a:ext uri="{FF2B5EF4-FFF2-40B4-BE49-F238E27FC236}">
              <a16:creationId xmlns:a16="http://schemas.microsoft.com/office/drawing/2014/main" id="{6DF160F5-6484-4BA4-8438-CE8B76612DA8}"/>
            </a:ext>
          </a:extLst>
        </xdr:cNvPr>
        <xdr:cNvCxnSpPr/>
      </xdr:nvCxnSpPr>
      <xdr:spPr>
        <a:xfrm flipV="1">
          <a:off x="8172450" y="6191250"/>
          <a:ext cx="1714500" cy="65246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23</xdr:row>
      <xdr:rowOff>0</xdr:rowOff>
    </xdr:from>
    <xdr:to>
      <xdr:col>15</xdr:col>
      <xdr:colOff>0</xdr:colOff>
      <xdr:row>23</xdr:row>
      <xdr:rowOff>0</xdr:rowOff>
    </xdr:to>
    <xdr:cxnSp macro="">
      <xdr:nvCxnSpPr>
        <xdr:cNvPr id="2" name="Straight Arrow Connector 1">
          <a:extLst>
            <a:ext uri="{FF2B5EF4-FFF2-40B4-BE49-F238E27FC236}">
              <a16:creationId xmlns:a16="http://schemas.microsoft.com/office/drawing/2014/main" id="{AE3B084D-559B-4071-95A3-D70768CBCED7}"/>
            </a:ext>
          </a:extLst>
        </xdr:cNvPr>
        <xdr:cNvCxnSpPr/>
      </xdr:nvCxnSpPr>
      <xdr:spPr>
        <a:xfrm>
          <a:off x="12287250" y="3202781"/>
          <a:ext cx="3774281"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23</xdr:row>
      <xdr:rowOff>0</xdr:rowOff>
    </xdr:from>
    <xdr:to>
      <xdr:col>10</xdr:col>
      <xdr:colOff>0</xdr:colOff>
      <xdr:row>29</xdr:row>
      <xdr:rowOff>0</xdr:rowOff>
    </xdr:to>
    <xdr:cxnSp macro="">
      <xdr:nvCxnSpPr>
        <xdr:cNvPr id="11" name="Straight Connector 10">
          <a:extLst>
            <a:ext uri="{FF2B5EF4-FFF2-40B4-BE49-F238E27FC236}">
              <a16:creationId xmlns:a16="http://schemas.microsoft.com/office/drawing/2014/main" id="{0536A902-BB69-1CF8-DE38-8A4B3483E976}"/>
            </a:ext>
          </a:extLst>
        </xdr:cNvPr>
        <xdr:cNvCxnSpPr/>
      </xdr:nvCxnSpPr>
      <xdr:spPr>
        <a:xfrm>
          <a:off x="12287250" y="3202781"/>
          <a:ext cx="0" cy="128587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26</xdr:row>
      <xdr:rowOff>0</xdr:rowOff>
    </xdr:from>
    <xdr:to>
      <xdr:col>17</xdr:col>
      <xdr:colOff>0</xdr:colOff>
      <xdr:row>34</xdr:row>
      <xdr:rowOff>0</xdr:rowOff>
    </xdr:to>
    <xdr:cxnSp macro="">
      <xdr:nvCxnSpPr>
        <xdr:cNvPr id="13" name="Straight Arrow Connector 12">
          <a:extLst>
            <a:ext uri="{FF2B5EF4-FFF2-40B4-BE49-F238E27FC236}">
              <a16:creationId xmlns:a16="http://schemas.microsoft.com/office/drawing/2014/main" id="{78ABB7BD-179F-41F7-B366-D438BFDDD268}"/>
            </a:ext>
          </a:extLst>
        </xdr:cNvPr>
        <xdr:cNvCxnSpPr/>
      </xdr:nvCxnSpPr>
      <xdr:spPr>
        <a:xfrm>
          <a:off x="17252156" y="3845719"/>
          <a:ext cx="0" cy="1714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6953</xdr:colOff>
      <xdr:row>38</xdr:row>
      <xdr:rowOff>6952</xdr:rowOff>
    </xdr:from>
    <xdr:to>
      <xdr:col>17</xdr:col>
      <xdr:colOff>21167</xdr:colOff>
      <xdr:row>45</xdr:row>
      <xdr:rowOff>169333</xdr:rowOff>
    </xdr:to>
    <xdr:cxnSp macro="">
      <xdr:nvCxnSpPr>
        <xdr:cNvPr id="4" name="Straight Arrow Connector 3">
          <a:extLst>
            <a:ext uri="{FF2B5EF4-FFF2-40B4-BE49-F238E27FC236}">
              <a16:creationId xmlns:a16="http://schemas.microsoft.com/office/drawing/2014/main" id="{1B599ED5-2B15-4D65-B3D1-B2532DD24CA1}"/>
            </a:ext>
          </a:extLst>
        </xdr:cNvPr>
        <xdr:cNvCxnSpPr/>
      </xdr:nvCxnSpPr>
      <xdr:spPr>
        <a:xfrm>
          <a:off x="19324626" y="8023248"/>
          <a:ext cx="14214" cy="162241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607629</xdr:colOff>
      <xdr:row>8</xdr:row>
      <xdr:rowOff>8211</xdr:rowOff>
    </xdr:from>
    <xdr:to>
      <xdr:col>10</xdr:col>
      <xdr:colOff>0</xdr:colOff>
      <xdr:row>8</xdr:row>
      <xdr:rowOff>8211</xdr:rowOff>
    </xdr:to>
    <xdr:cxnSp macro="">
      <xdr:nvCxnSpPr>
        <xdr:cNvPr id="5" name="Straight Arrow Connector 4">
          <a:extLst>
            <a:ext uri="{FF2B5EF4-FFF2-40B4-BE49-F238E27FC236}">
              <a16:creationId xmlns:a16="http://schemas.microsoft.com/office/drawing/2014/main" id="{AF91B281-C85B-5431-ECAE-B37FE32E2354}"/>
            </a:ext>
          </a:extLst>
        </xdr:cNvPr>
        <xdr:cNvCxnSpPr/>
      </xdr:nvCxnSpPr>
      <xdr:spPr>
        <a:xfrm>
          <a:off x="4861034" y="1059245"/>
          <a:ext cx="121525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607629</xdr:colOff>
      <xdr:row>16</xdr:row>
      <xdr:rowOff>0</xdr:rowOff>
    </xdr:from>
    <xdr:to>
      <xdr:col>10</xdr:col>
      <xdr:colOff>0</xdr:colOff>
      <xdr:row>16</xdr:row>
      <xdr:rowOff>0</xdr:rowOff>
    </xdr:to>
    <xdr:cxnSp macro="">
      <xdr:nvCxnSpPr>
        <xdr:cNvPr id="6" name="Straight Arrow Connector 5">
          <a:extLst>
            <a:ext uri="{FF2B5EF4-FFF2-40B4-BE49-F238E27FC236}">
              <a16:creationId xmlns:a16="http://schemas.microsoft.com/office/drawing/2014/main" id="{BA426885-7516-412A-A402-CF571EC1AC76}"/>
            </a:ext>
          </a:extLst>
        </xdr:cNvPr>
        <xdr:cNvCxnSpPr/>
      </xdr:nvCxnSpPr>
      <xdr:spPr>
        <a:xfrm>
          <a:off x="4861034" y="2652220"/>
          <a:ext cx="121525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607629</xdr:colOff>
      <xdr:row>24</xdr:row>
      <xdr:rowOff>0</xdr:rowOff>
    </xdr:from>
    <xdr:to>
      <xdr:col>10</xdr:col>
      <xdr:colOff>0</xdr:colOff>
      <xdr:row>24</xdr:row>
      <xdr:rowOff>0</xdr:rowOff>
    </xdr:to>
    <xdr:cxnSp macro="">
      <xdr:nvCxnSpPr>
        <xdr:cNvPr id="7" name="Straight Arrow Connector 6">
          <a:extLst>
            <a:ext uri="{FF2B5EF4-FFF2-40B4-BE49-F238E27FC236}">
              <a16:creationId xmlns:a16="http://schemas.microsoft.com/office/drawing/2014/main" id="{282A646C-ADE9-4FE7-BAFC-2383BE2D2EDB}"/>
            </a:ext>
          </a:extLst>
        </xdr:cNvPr>
        <xdr:cNvCxnSpPr/>
      </xdr:nvCxnSpPr>
      <xdr:spPr>
        <a:xfrm>
          <a:off x="4861034" y="4302672"/>
          <a:ext cx="121525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607629</xdr:colOff>
      <xdr:row>33</xdr:row>
      <xdr:rowOff>0</xdr:rowOff>
    </xdr:from>
    <xdr:to>
      <xdr:col>10</xdr:col>
      <xdr:colOff>0</xdr:colOff>
      <xdr:row>33</xdr:row>
      <xdr:rowOff>0</xdr:rowOff>
    </xdr:to>
    <xdr:cxnSp macro="">
      <xdr:nvCxnSpPr>
        <xdr:cNvPr id="8" name="Straight Arrow Connector 7">
          <a:extLst>
            <a:ext uri="{FF2B5EF4-FFF2-40B4-BE49-F238E27FC236}">
              <a16:creationId xmlns:a16="http://schemas.microsoft.com/office/drawing/2014/main" id="{A5A3C0F2-22FA-4643-8E6D-527FED6F9BFB}"/>
            </a:ext>
          </a:extLst>
        </xdr:cNvPr>
        <xdr:cNvCxnSpPr/>
      </xdr:nvCxnSpPr>
      <xdr:spPr>
        <a:xfrm>
          <a:off x="4861034" y="6117349"/>
          <a:ext cx="121525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9</xdr:row>
      <xdr:rowOff>188857</xdr:rowOff>
    </xdr:from>
    <xdr:to>
      <xdr:col>18</xdr:col>
      <xdr:colOff>0</xdr:colOff>
      <xdr:row>19</xdr:row>
      <xdr:rowOff>0</xdr:rowOff>
    </xdr:to>
    <xdr:cxnSp macro="">
      <xdr:nvCxnSpPr>
        <xdr:cNvPr id="2" name="Straight Arrow Connector 1">
          <a:extLst>
            <a:ext uri="{FF2B5EF4-FFF2-40B4-BE49-F238E27FC236}">
              <a16:creationId xmlns:a16="http://schemas.microsoft.com/office/drawing/2014/main" id="{72B1EA48-E2BE-40D7-9EFF-93AF77661727}"/>
            </a:ext>
          </a:extLst>
        </xdr:cNvPr>
        <xdr:cNvCxnSpPr/>
      </xdr:nvCxnSpPr>
      <xdr:spPr>
        <a:xfrm>
          <a:off x="9722069" y="1453383"/>
          <a:ext cx="1215259" cy="185573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16</xdr:row>
      <xdr:rowOff>139591</xdr:rowOff>
    </xdr:from>
    <xdr:to>
      <xdr:col>18</xdr:col>
      <xdr:colOff>0</xdr:colOff>
      <xdr:row>20</xdr:row>
      <xdr:rowOff>0</xdr:rowOff>
    </xdr:to>
    <xdr:cxnSp macro="">
      <xdr:nvCxnSpPr>
        <xdr:cNvPr id="10" name="Straight Arrow Connector 9">
          <a:extLst>
            <a:ext uri="{FF2B5EF4-FFF2-40B4-BE49-F238E27FC236}">
              <a16:creationId xmlns:a16="http://schemas.microsoft.com/office/drawing/2014/main" id="{77F4CB68-93ED-4D0C-8716-04A7700ADAB0}"/>
            </a:ext>
          </a:extLst>
        </xdr:cNvPr>
        <xdr:cNvCxnSpPr/>
      </xdr:nvCxnSpPr>
      <xdr:spPr>
        <a:xfrm>
          <a:off x="9722069" y="2808233"/>
          <a:ext cx="1215259" cy="69795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21</xdr:row>
      <xdr:rowOff>0</xdr:rowOff>
    </xdr:from>
    <xdr:to>
      <xdr:col>18</xdr:col>
      <xdr:colOff>0</xdr:colOff>
      <xdr:row>24</xdr:row>
      <xdr:rowOff>139590</xdr:rowOff>
    </xdr:to>
    <xdr:cxnSp macro="">
      <xdr:nvCxnSpPr>
        <xdr:cNvPr id="12" name="Straight Arrow Connector 11">
          <a:extLst>
            <a:ext uri="{FF2B5EF4-FFF2-40B4-BE49-F238E27FC236}">
              <a16:creationId xmlns:a16="http://schemas.microsoft.com/office/drawing/2014/main" id="{AA3CF0B7-E9FF-4346-AE7E-D2FEC1CE3DB3}"/>
            </a:ext>
          </a:extLst>
        </xdr:cNvPr>
        <xdr:cNvCxnSpPr/>
      </xdr:nvCxnSpPr>
      <xdr:spPr>
        <a:xfrm flipV="1">
          <a:off x="9722069" y="3719677"/>
          <a:ext cx="1215259" cy="74721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22</xdr:row>
      <xdr:rowOff>0</xdr:rowOff>
    </xdr:from>
    <xdr:to>
      <xdr:col>18</xdr:col>
      <xdr:colOff>0</xdr:colOff>
      <xdr:row>32</xdr:row>
      <xdr:rowOff>0</xdr:rowOff>
    </xdr:to>
    <xdr:cxnSp macro="">
      <xdr:nvCxnSpPr>
        <xdr:cNvPr id="14" name="Straight Arrow Connector 13">
          <a:extLst>
            <a:ext uri="{FF2B5EF4-FFF2-40B4-BE49-F238E27FC236}">
              <a16:creationId xmlns:a16="http://schemas.microsoft.com/office/drawing/2014/main" id="{A8BA660C-2301-427C-85D5-2647D04C9344}"/>
            </a:ext>
          </a:extLst>
        </xdr:cNvPr>
        <xdr:cNvCxnSpPr/>
      </xdr:nvCxnSpPr>
      <xdr:spPr>
        <a:xfrm flipV="1">
          <a:off x="9722069" y="3916746"/>
          <a:ext cx="1215259" cy="202816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1018189</xdr:colOff>
      <xdr:row>22</xdr:row>
      <xdr:rowOff>0</xdr:rowOff>
    </xdr:from>
    <xdr:to>
      <xdr:col>19</xdr:col>
      <xdr:colOff>1018189</xdr:colOff>
      <xdr:row>30</xdr:row>
      <xdr:rowOff>0</xdr:rowOff>
    </xdr:to>
    <xdr:cxnSp macro="">
      <xdr:nvCxnSpPr>
        <xdr:cNvPr id="17" name="Straight Arrow Connector 16">
          <a:extLst>
            <a:ext uri="{FF2B5EF4-FFF2-40B4-BE49-F238E27FC236}">
              <a16:creationId xmlns:a16="http://schemas.microsoft.com/office/drawing/2014/main" id="{2F273D15-5749-48F7-8D2E-3C6423AA270C}"/>
            </a:ext>
          </a:extLst>
        </xdr:cNvPr>
        <xdr:cNvCxnSpPr/>
      </xdr:nvCxnSpPr>
      <xdr:spPr>
        <a:xfrm>
          <a:off x="12719159" y="3916746"/>
          <a:ext cx="0" cy="164224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20</xdr:row>
      <xdr:rowOff>0</xdr:rowOff>
    </xdr:from>
    <xdr:to>
      <xdr:col>10</xdr:col>
      <xdr:colOff>0</xdr:colOff>
      <xdr:row>20</xdr:row>
      <xdr:rowOff>0</xdr:rowOff>
    </xdr:to>
    <xdr:cxnSp macro="">
      <xdr:nvCxnSpPr>
        <xdr:cNvPr id="5" name="Straight Arrow Connector 4">
          <a:extLst>
            <a:ext uri="{FF2B5EF4-FFF2-40B4-BE49-F238E27FC236}">
              <a16:creationId xmlns:a16="http://schemas.microsoft.com/office/drawing/2014/main" id="{6982DA27-0C20-DC5B-5A82-2AAFB39B411D}"/>
            </a:ext>
          </a:extLst>
        </xdr:cNvPr>
        <xdr:cNvCxnSpPr/>
      </xdr:nvCxnSpPr>
      <xdr:spPr>
        <a:xfrm>
          <a:off x="5888182" y="3414156"/>
          <a:ext cx="5232565"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12</xdr:row>
      <xdr:rowOff>0</xdr:rowOff>
    </xdr:from>
    <xdr:to>
      <xdr:col>10</xdr:col>
      <xdr:colOff>0</xdr:colOff>
      <xdr:row>12</xdr:row>
      <xdr:rowOff>12371</xdr:rowOff>
    </xdr:to>
    <xdr:cxnSp macro="">
      <xdr:nvCxnSpPr>
        <xdr:cNvPr id="8" name="Straight Arrow Connector 7">
          <a:extLst>
            <a:ext uri="{FF2B5EF4-FFF2-40B4-BE49-F238E27FC236}">
              <a16:creationId xmlns:a16="http://schemas.microsoft.com/office/drawing/2014/main" id="{BBE9E046-24D0-45CB-A470-23FD3FFF6AB4}"/>
            </a:ext>
          </a:extLst>
        </xdr:cNvPr>
        <xdr:cNvCxnSpPr/>
      </xdr:nvCxnSpPr>
      <xdr:spPr>
        <a:xfrm flipV="1">
          <a:off x="10663052" y="1793669"/>
          <a:ext cx="457695" cy="1237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28</xdr:row>
      <xdr:rowOff>148441</xdr:rowOff>
    </xdr:from>
    <xdr:to>
      <xdr:col>10</xdr:col>
      <xdr:colOff>0</xdr:colOff>
      <xdr:row>28</xdr:row>
      <xdr:rowOff>148441</xdr:rowOff>
    </xdr:to>
    <xdr:cxnSp macro="">
      <xdr:nvCxnSpPr>
        <xdr:cNvPr id="12" name="Straight Arrow Connector 11">
          <a:extLst>
            <a:ext uri="{FF2B5EF4-FFF2-40B4-BE49-F238E27FC236}">
              <a16:creationId xmlns:a16="http://schemas.microsoft.com/office/drawing/2014/main" id="{802B5D91-B5C4-44BA-ACE1-81EC7A73BF15}"/>
            </a:ext>
          </a:extLst>
        </xdr:cNvPr>
        <xdr:cNvCxnSpPr/>
      </xdr:nvCxnSpPr>
      <xdr:spPr>
        <a:xfrm>
          <a:off x="5888182" y="5207824"/>
          <a:ext cx="5232565"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37</xdr:row>
      <xdr:rowOff>49481</xdr:rowOff>
    </xdr:from>
    <xdr:to>
      <xdr:col>10</xdr:col>
      <xdr:colOff>0</xdr:colOff>
      <xdr:row>37</xdr:row>
      <xdr:rowOff>49481</xdr:rowOff>
    </xdr:to>
    <xdr:cxnSp macro="">
      <xdr:nvCxnSpPr>
        <xdr:cNvPr id="13" name="Straight Arrow Connector 12">
          <a:extLst>
            <a:ext uri="{FF2B5EF4-FFF2-40B4-BE49-F238E27FC236}">
              <a16:creationId xmlns:a16="http://schemas.microsoft.com/office/drawing/2014/main" id="{23067883-E255-46DD-82CC-368CE91174ED}"/>
            </a:ext>
          </a:extLst>
        </xdr:cNvPr>
        <xdr:cNvCxnSpPr/>
      </xdr:nvCxnSpPr>
      <xdr:spPr>
        <a:xfrm>
          <a:off x="5888182" y="7125195"/>
          <a:ext cx="5232565"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12</xdr:row>
      <xdr:rowOff>0</xdr:rowOff>
    </xdr:from>
    <xdr:to>
      <xdr:col>15</xdr:col>
      <xdr:colOff>0</xdr:colOff>
      <xdr:row>20</xdr:row>
      <xdr:rowOff>0</xdr:rowOff>
    </xdr:to>
    <xdr:cxnSp macro="">
      <xdr:nvCxnSpPr>
        <xdr:cNvPr id="16" name="Straight Arrow Connector 15">
          <a:extLst>
            <a:ext uri="{FF2B5EF4-FFF2-40B4-BE49-F238E27FC236}">
              <a16:creationId xmlns:a16="http://schemas.microsoft.com/office/drawing/2014/main" id="{8686C3DE-321C-415E-A52D-D946427EC224}"/>
            </a:ext>
          </a:extLst>
        </xdr:cNvPr>
        <xdr:cNvCxnSpPr/>
      </xdr:nvCxnSpPr>
      <xdr:spPr>
        <a:xfrm>
          <a:off x="14967857" y="1793669"/>
          <a:ext cx="1212273" cy="162048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23</xdr:row>
      <xdr:rowOff>0</xdr:rowOff>
    </xdr:from>
    <xdr:to>
      <xdr:col>15</xdr:col>
      <xdr:colOff>0</xdr:colOff>
      <xdr:row>36</xdr:row>
      <xdr:rowOff>0</xdr:rowOff>
    </xdr:to>
    <xdr:cxnSp macro="">
      <xdr:nvCxnSpPr>
        <xdr:cNvPr id="18" name="Straight Arrow Connector 17">
          <a:extLst>
            <a:ext uri="{FF2B5EF4-FFF2-40B4-BE49-F238E27FC236}">
              <a16:creationId xmlns:a16="http://schemas.microsoft.com/office/drawing/2014/main" id="{839DDD6C-3462-4490-AD50-B49936D60120}"/>
            </a:ext>
          </a:extLst>
        </xdr:cNvPr>
        <xdr:cNvCxnSpPr/>
      </xdr:nvCxnSpPr>
      <xdr:spPr>
        <a:xfrm flipV="1">
          <a:off x="14967857" y="4032662"/>
          <a:ext cx="1212273" cy="284513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xdr:colOff>
      <xdr:row>22</xdr:row>
      <xdr:rowOff>0</xdr:rowOff>
    </xdr:from>
    <xdr:to>
      <xdr:col>15</xdr:col>
      <xdr:colOff>0</xdr:colOff>
      <xdr:row>27</xdr:row>
      <xdr:rowOff>12369</xdr:rowOff>
    </xdr:to>
    <xdr:cxnSp macro="">
      <xdr:nvCxnSpPr>
        <xdr:cNvPr id="22" name="Straight Arrow Connector 21">
          <a:extLst>
            <a:ext uri="{FF2B5EF4-FFF2-40B4-BE49-F238E27FC236}">
              <a16:creationId xmlns:a16="http://schemas.microsoft.com/office/drawing/2014/main" id="{633B3F42-B901-4B74-84DE-C53398BE4CF1}"/>
            </a:ext>
          </a:extLst>
        </xdr:cNvPr>
        <xdr:cNvCxnSpPr/>
      </xdr:nvCxnSpPr>
      <xdr:spPr>
        <a:xfrm flipV="1">
          <a:off x="14967858" y="3822370"/>
          <a:ext cx="1212272" cy="105146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xdr:colOff>
      <xdr:row>19</xdr:row>
      <xdr:rowOff>0</xdr:rowOff>
    </xdr:from>
    <xdr:to>
      <xdr:col>15</xdr:col>
      <xdr:colOff>0</xdr:colOff>
      <xdr:row>21</xdr:row>
      <xdr:rowOff>0</xdr:rowOff>
    </xdr:to>
    <xdr:cxnSp macro="">
      <xdr:nvCxnSpPr>
        <xdr:cNvPr id="27" name="Straight Arrow Connector 26">
          <a:extLst>
            <a:ext uri="{FF2B5EF4-FFF2-40B4-BE49-F238E27FC236}">
              <a16:creationId xmlns:a16="http://schemas.microsoft.com/office/drawing/2014/main" id="{F79ADC0E-0761-4F98-8BC1-B8A24AF01164}"/>
            </a:ext>
          </a:extLst>
        </xdr:cNvPr>
        <xdr:cNvCxnSpPr/>
      </xdr:nvCxnSpPr>
      <xdr:spPr>
        <a:xfrm>
          <a:off x="14967858" y="3216234"/>
          <a:ext cx="1212272" cy="39584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346364</xdr:colOff>
      <xdr:row>23</xdr:row>
      <xdr:rowOff>0</xdr:rowOff>
    </xdr:from>
    <xdr:to>
      <xdr:col>17</xdr:col>
      <xdr:colOff>346364</xdr:colOff>
      <xdr:row>32</xdr:row>
      <xdr:rowOff>0</xdr:rowOff>
    </xdr:to>
    <xdr:cxnSp macro="">
      <xdr:nvCxnSpPr>
        <xdr:cNvPr id="33" name="Straight Arrow Connector 32">
          <a:extLst>
            <a:ext uri="{FF2B5EF4-FFF2-40B4-BE49-F238E27FC236}">
              <a16:creationId xmlns:a16="http://schemas.microsoft.com/office/drawing/2014/main" id="{8ED5BB27-A9A4-4385-BE50-661644B3293F}"/>
            </a:ext>
          </a:extLst>
        </xdr:cNvPr>
        <xdr:cNvCxnSpPr/>
      </xdr:nvCxnSpPr>
      <xdr:spPr>
        <a:xfrm>
          <a:off x="18901559" y="4032662"/>
          <a:ext cx="0" cy="186789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730250</xdr:colOff>
      <xdr:row>14</xdr:row>
      <xdr:rowOff>6350</xdr:rowOff>
    </xdr:from>
    <xdr:to>
      <xdr:col>10</xdr:col>
      <xdr:colOff>730250</xdr:colOff>
      <xdr:row>14</xdr:row>
      <xdr:rowOff>304800</xdr:rowOff>
    </xdr:to>
    <xdr:cxnSp macro="">
      <xdr:nvCxnSpPr>
        <xdr:cNvPr id="2" name="Straight Arrow Connector 1">
          <a:extLst>
            <a:ext uri="{FF2B5EF4-FFF2-40B4-BE49-F238E27FC236}">
              <a16:creationId xmlns:a16="http://schemas.microsoft.com/office/drawing/2014/main" id="{9DA29991-3D87-40C6-B9D2-CCD7F62262C7}"/>
            </a:ext>
          </a:extLst>
        </xdr:cNvPr>
        <xdr:cNvCxnSpPr/>
      </xdr:nvCxnSpPr>
      <xdr:spPr>
        <a:xfrm>
          <a:off x="10017125" y="3530600"/>
          <a:ext cx="0" cy="298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13</xdr:row>
      <xdr:rowOff>0</xdr:rowOff>
    </xdr:from>
    <xdr:to>
      <xdr:col>18</xdr:col>
      <xdr:colOff>9525</xdr:colOff>
      <xdr:row>13</xdr:row>
      <xdr:rowOff>0</xdr:rowOff>
    </xdr:to>
    <xdr:cxnSp macro="">
      <xdr:nvCxnSpPr>
        <xdr:cNvPr id="3" name="Straight Arrow Connector 2">
          <a:extLst>
            <a:ext uri="{FF2B5EF4-FFF2-40B4-BE49-F238E27FC236}">
              <a16:creationId xmlns:a16="http://schemas.microsoft.com/office/drawing/2014/main" id="{384AD5B0-927B-416A-A622-FD09F46C3595}"/>
            </a:ext>
          </a:extLst>
        </xdr:cNvPr>
        <xdr:cNvCxnSpPr/>
      </xdr:nvCxnSpPr>
      <xdr:spPr>
        <a:xfrm>
          <a:off x="13468350" y="3324225"/>
          <a:ext cx="619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9526</xdr:colOff>
      <xdr:row>13</xdr:row>
      <xdr:rowOff>76201</xdr:rowOff>
    </xdr:from>
    <xdr:to>
      <xdr:col>8</xdr:col>
      <xdr:colOff>0</xdr:colOff>
      <xdr:row>17</xdr:row>
      <xdr:rowOff>190500</xdr:rowOff>
    </xdr:to>
    <xdr:cxnSp macro="">
      <xdr:nvCxnSpPr>
        <xdr:cNvPr id="6" name="Connector: Elbow 5">
          <a:extLst>
            <a:ext uri="{FF2B5EF4-FFF2-40B4-BE49-F238E27FC236}">
              <a16:creationId xmlns:a16="http://schemas.microsoft.com/office/drawing/2014/main" id="{B587E6C8-0B81-45CC-BB11-9A6F2D853212}"/>
            </a:ext>
          </a:extLst>
        </xdr:cNvPr>
        <xdr:cNvCxnSpPr/>
      </xdr:nvCxnSpPr>
      <xdr:spPr>
        <a:xfrm rot="5400000" flipH="1" flipV="1">
          <a:off x="4933951" y="3810001"/>
          <a:ext cx="1285874" cy="466724"/>
        </a:xfrm>
        <a:prstGeom prst="bentConnector3">
          <a:avLst>
            <a:gd name="adj1" fmla="val 10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1438275</xdr:colOff>
      <xdr:row>13</xdr:row>
      <xdr:rowOff>0</xdr:rowOff>
    </xdr:from>
    <xdr:to>
      <xdr:col>12</xdr:col>
      <xdr:colOff>342900</xdr:colOff>
      <xdr:row>16</xdr:row>
      <xdr:rowOff>0</xdr:rowOff>
    </xdr:to>
    <xdr:cxnSp macro="">
      <xdr:nvCxnSpPr>
        <xdr:cNvPr id="7" name="Connector: Elbow 6">
          <a:extLst>
            <a:ext uri="{FF2B5EF4-FFF2-40B4-BE49-F238E27FC236}">
              <a16:creationId xmlns:a16="http://schemas.microsoft.com/office/drawing/2014/main" id="{A1210EF9-1FA8-42D6-9097-6F2A55C52C16}"/>
            </a:ext>
          </a:extLst>
        </xdr:cNvPr>
        <xdr:cNvCxnSpPr/>
      </xdr:nvCxnSpPr>
      <xdr:spPr>
        <a:xfrm flipV="1">
          <a:off x="10668000" y="3324225"/>
          <a:ext cx="733425" cy="942975"/>
        </a:xfrm>
        <a:prstGeom prst="bentConnector3">
          <a:avLst>
            <a:gd name="adj1" fmla="val 4385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18</xdr:row>
      <xdr:rowOff>0</xdr:rowOff>
    </xdr:from>
    <xdr:to>
      <xdr:col>2</xdr:col>
      <xdr:colOff>9525</xdr:colOff>
      <xdr:row>18</xdr:row>
      <xdr:rowOff>0</xdr:rowOff>
    </xdr:to>
    <xdr:cxnSp macro="">
      <xdr:nvCxnSpPr>
        <xdr:cNvPr id="8" name="Straight Arrow Connector 7">
          <a:extLst>
            <a:ext uri="{FF2B5EF4-FFF2-40B4-BE49-F238E27FC236}">
              <a16:creationId xmlns:a16="http://schemas.microsoft.com/office/drawing/2014/main" id="{32A471DF-9BAB-4382-BA2A-53575A6F650A}"/>
            </a:ext>
          </a:extLst>
        </xdr:cNvPr>
        <xdr:cNvCxnSpPr/>
      </xdr:nvCxnSpPr>
      <xdr:spPr>
        <a:xfrm>
          <a:off x="2628900" y="4686300"/>
          <a:ext cx="333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12</xdr:row>
      <xdr:rowOff>0</xdr:rowOff>
    </xdr:from>
    <xdr:to>
      <xdr:col>2</xdr:col>
      <xdr:colOff>0</xdr:colOff>
      <xdr:row>12</xdr:row>
      <xdr:rowOff>0</xdr:rowOff>
    </xdr:to>
    <xdr:cxnSp macro="">
      <xdr:nvCxnSpPr>
        <xdr:cNvPr id="4" name="Straight Arrow Connector 3">
          <a:extLst>
            <a:ext uri="{FF2B5EF4-FFF2-40B4-BE49-F238E27FC236}">
              <a16:creationId xmlns:a16="http://schemas.microsoft.com/office/drawing/2014/main" id="{8979FE63-E6BB-45D7-96A2-B1862A0DC37D}"/>
            </a:ext>
          </a:extLst>
        </xdr:cNvPr>
        <xdr:cNvCxnSpPr/>
      </xdr:nvCxnSpPr>
      <xdr:spPr>
        <a:xfrm>
          <a:off x="2619375" y="3086100"/>
          <a:ext cx="333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0</xdr:rowOff>
    </xdr:from>
    <xdr:to>
      <xdr:col>2</xdr:col>
      <xdr:colOff>0</xdr:colOff>
      <xdr:row>9</xdr:row>
      <xdr:rowOff>0</xdr:rowOff>
    </xdr:to>
    <xdr:cxnSp macro="">
      <xdr:nvCxnSpPr>
        <xdr:cNvPr id="5" name="Straight Arrow Connector 4">
          <a:extLst>
            <a:ext uri="{FF2B5EF4-FFF2-40B4-BE49-F238E27FC236}">
              <a16:creationId xmlns:a16="http://schemas.microsoft.com/office/drawing/2014/main" id="{70E585FB-8042-4E17-A7E6-8310B47A1900}"/>
            </a:ext>
          </a:extLst>
        </xdr:cNvPr>
        <xdr:cNvCxnSpPr/>
      </xdr:nvCxnSpPr>
      <xdr:spPr>
        <a:xfrm>
          <a:off x="2619375" y="2333625"/>
          <a:ext cx="3333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11</xdr:row>
      <xdr:rowOff>0</xdr:rowOff>
    </xdr:from>
    <xdr:to>
      <xdr:col>8</xdr:col>
      <xdr:colOff>9525</xdr:colOff>
      <xdr:row>12</xdr:row>
      <xdr:rowOff>0</xdr:rowOff>
    </xdr:to>
    <xdr:cxnSp macro="">
      <xdr:nvCxnSpPr>
        <xdr:cNvPr id="9" name="Straight Arrow Connector 8">
          <a:extLst>
            <a:ext uri="{FF2B5EF4-FFF2-40B4-BE49-F238E27FC236}">
              <a16:creationId xmlns:a16="http://schemas.microsoft.com/office/drawing/2014/main" id="{F9A1E4F3-C138-4247-9848-E1670CD2B1CB}"/>
            </a:ext>
          </a:extLst>
        </xdr:cNvPr>
        <xdr:cNvCxnSpPr/>
      </xdr:nvCxnSpPr>
      <xdr:spPr>
        <a:xfrm>
          <a:off x="5334000" y="2857500"/>
          <a:ext cx="485775"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10</xdr:row>
      <xdr:rowOff>0</xdr:rowOff>
    </xdr:from>
    <xdr:to>
      <xdr:col>5</xdr:col>
      <xdr:colOff>0</xdr:colOff>
      <xdr:row>10</xdr:row>
      <xdr:rowOff>0</xdr:rowOff>
    </xdr:to>
    <xdr:cxnSp macro="">
      <xdr:nvCxnSpPr>
        <xdr:cNvPr id="2" name="Straight Arrow Connector 1">
          <a:extLst>
            <a:ext uri="{FF2B5EF4-FFF2-40B4-BE49-F238E27FC236}">
              <a16:creationId xmlns:a16="http://schemas.microsoft.com/office/drawing/2014/main" id="{F1BDEA72-942F-43DD-8F0C-E8C4633AFD2F}"/>
            </a:ext>
          </a:extLst>
        </xdr:cNvPr>
        <xdr:cNvCxnSpPr/>
      </xdr:nvCxnSpPr>
      <xdr:spPr>
        <a:xfrm>
          <a:off x="8753475" y="3143250"/>
          <a:ext cx="685800"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12</xdr:row>
      <xdr:rowOff>246038</xdr:rowOff>
    </xdr:from>
    <xdr:to>
      <xdr:col>5</xdr:col>
      <xdr:colOff>0</xdr:colOff>
      <xdr:row>13</xdr:row>
      <xdr:rowOff>0</xdr:rowOff>
    </xdr:to>
    <xdr:cxnSp macro="">
      <xdr:nvCxnSpPr>
        <xdr:cNvPr id="3" name="Straight Arrow Connector 2">
          <a:extLst>
            <a:ext uri="{FF2B5EF4-FFF2-40B4-BE49-F238E27FC236}">
              <a16:creationId xmlns:a16="http://schemas.microsoft.com/office/drawing/2014/main" id="{8B8B3E5B-2C2E-4D1C-87A2-FA9F744D088B}"/>
            </a:ext>
          </a:extLst>
        </xdr:cNvPr>
        <xdr:cNvCxnSpPr/>
      </xdr:nvCxnSpPr>
      <xdr:spPr>
        <a:xfrm>
          <a:off x="8753475" y="3894113"/>
          <a:ext cx="685800" cy="161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10</xdr:row>
      <xdr:rowOff>0</xdr:rowOff>
    </xdr:from>
    <xdr:to>
      <xdr:col>8</xdr:col>
      <xdr:colOff>0</xdr:colOff>
      <xdr:row>11</xdr:row>
      <xdr:rowOff>0</xdr:rowOff>
    </xdr:to>
    <xdr:cxnSp macro="">
      <xdr:nvCxnSpPr>
        <xdr:cNvPr id="4" name="Straight Arrow Connector 3">
          <a:extLst>
            <a:ext uri="{FF2B5EF4-FFF2-40B4-BE49-F238E27FC236}">
              <a16:creationId xmlns:a16="http://schemas.microsoft.com/office/drawing/2014/main" id="{884CDF8B-5FDF-4554-A813-ACA2E78EACFC}"/>
            </a:ext>
          </a:extLst>
        </xdr:cNvPr>
        <xdr:cNvCxnSpPr/>
      </xdr:nvCxnSpPr>
      <xdr:spPr>
        <a:xfrm>
          <a:off x="11953875" y="3143250"/>
          <a:ext cx="1581150" cy="2571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11</xdr:row>
      <xdr:rowOff>0</xdr:rowOff>
    </xdr:from>
    <xdr:to>
      <xdr:col>8</xdr:col>
      <xdr:colOff>0</xdr:colOff>
      <xdr:row>13</xdr:row>
      <xdr:rowOff>0</xdr:rowOff>
    </xdr:to>
    <xdr:cxnSp macro="">
      <xdr:nvCxnSpPr>
        <xdr:cNvPr id="5" name="Straight Arrow Connector 4">
          <a:extLst>
            <a:ext uri="{FF2B5EF4-FFF2-40B4-BE49-F238E27FC236}">
              <a16:creationId xmlns:a16="http://schemas.microsoft.com/office/drawing/2014/main" id="{0913EB08-EB84-47DE-BD7E-F3CA6A61F9C2}"/>
            </a:ext>
          </a:extLst>
        </xdr:cNvPr>
        <xdr:cNvCxnSpPr/>
      </xdr:nvCxnSpPr>
      <xdr:spPr>
        <a:xfrm flipV="1">
          <a:off x="11953875" y="3400425"/>
          <a:ext cx="1581150" cy="4953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11</xdr:row>
      <xdr:rowOff>0</xdr:rowOff>
    </xdr:from>
    <xdr:to>
      <xdr:col>11</xdr:col>
      <xdr:colOff>0</xdr:colOff>
      <xdr:row>11</xdr:row>
      <xdr:rowOff>0</xdr:rowOff>
    </xdr:to>
    <xdr:cxnSp macro="">
      <xdr:nvCxnSpPr>
        <xdr:cNvPr id="6" name="Straight Arrow Connector 5">
          <a:extLst>
            <a:ext uri="{FF2B5EF4-FFF2-40B4-BE49-F238E27FC236}">
              <a16:creationId xmlns:a16="http://schemas.microsoft.com/office/drawing/2014/main" id="{308BC0B2-BCAE-48D2-AC0E-19CE3B9B9128}"/>
            </a:ext>
          </a:extLst>
        </xdr:cNvPr>
        <xdr:cNvCxnSpPr/>
      </xdr:nvCxnSpPr>
      <xdr:spPr>
        <a:xfrm>
          <a:off x="15573375" y="3400425"/>
          <a:ext cx="914400"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11076</xdr:colOff>
      <xdr:row>16</xdr:row>
      <xdr:rowOff>87939</xdr:rowOff>
    </xdr:from>
    <xdr:to>
      <xdr:col>4</xdr:col>
      <xdr:colOff>604661</xdr:colOff>
      <xdr:row>16</xdr:row>
      <xdr:rowOff>88605</xdr:rowOff>
    </xdr:to>
    <xdr:cxnSp macro="">
      <xdr:nvCxnSpPr>
        <xdr:cNvPr id="2" name="Straight Arrow Connector 1">
          <a:extLst>
            <a:ext uri="{FF2B5EF4-FFF2-40B4-BE49-F238E27FC236}">
              <a16:creationId xmlns:a16="http://schemas.microsoft.com/office/drawing/2014/main" id="{5EB011E9-F688-4055-80F0-4AF24A173301}"/>
            </a:ext>
          </a:extLst>
        </xdr:cNvPr>
        <xdr:cNvCxnSpPr/>
      </xdr:nvCxnSpPr>
      <xdr:spPr>
        <a:xfrm flipV="1">
          <a:off x="1229390" y="3438302"/>
          <a:ext cx="1202742" cy="66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9400</xdr:colOff>
      <xdr:row>36</xdr:row>
      <xdr:rowOff>106530</xdr:rowOff>
    </xdr:from>
    <xdr:to>
      <xdr:col>4</xdr:col>
      <xdr:colOff>610978</xdr:colOff>
      <xdr:row>36</xdr:row>
      <xdr:rowOff>109663</xdr:rowOff>
    </xdr:to>
    <xdr:cxnSp macro="">
      <xdr:nvCxnSpPr>
        <xdr:cNvPr id="3" name="Straight Arrow Connector 2">
          <a:extLst>
            <a:ext uri="{FF2B5EF4-FFF2-40B4-BE49-F238E27FC236}">
              <a16:creationId xmlns:a16="http://schemas.microsoft.com/office/drawing/2014/main" id="{4A8AFD58-3D33-4F95-B4B0-1E9DAC67B0F2}"/>
            </a:ext>
          </a:extLst>
        </xdr:cNvPr>
        <xdr:cNvCxnSpPr/>
      </xdr:nvCxnSpPr>
      <xdr:spPr>
        <a:xfrm flipV="1">
          <a:off x="1231357" y="7366209"/>
          <a:ext cx="1212557" cy="313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6267</xdr:colOff>
      <xdr:row>110</xdr:row>
      <xdr:rowOff>119062</xdr:rowOff>
    </xdr:from>
    <xdr:to>
      <xdr:col>5</xdr:col>
      <xdr:colOff>3134</xdr:colOff>
      <xdr:row>110</xdr:row>
      <xdr:rowOff>122195</xdr:rowOff>
    </xdr:to>
    <xdr:cxnSp macro="">
      <xdr:nvCxnSpPr>
        <xdr:cNvPr id="4" name="Straight Arrow Connector 3">
          <a:extLst>
            <a:ext uri="{FF2B5EF4-FFF2-40B4-BE49-F238E27FC236}">
              <a16:creationId xmlns:a16="http://schemas.microsoft.com/office/drawing/2014/main" id="{0CBEAF2A-F799-4081-A8F3-37B72B82B7AD}"/>
            </a:ext>
          </a:extLst>
        </xdr:cNvPr>
        <xdr:cNvCxnSpPr/>
      </xdr:nvCxnSpPr>
      <xdr:spPr>
        <a:xfrm flipV="1">
          <a:off x="1228224" y="22468347"/>
          <a:ext cx="1218824" cy="313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6267</xdr:colOff>
      <xdr:row>82</xdr:row>
      <xdr:rowOff>109663</xdr:rowOff>
    </xdr:from>
    <xdr:to>
      <xdr:col>4</xdr:col>
      <xdr:colOff>610978</xdr:colOff>
      <xdr:row>82</xdr:row>
      <xdr:rowOff>119063</xdr:rowOff>
    </xdr:to>
    <xdr:cxnSp macro="">
      <xdr:nvCxnSpPr>
        <xdr:cNvPr id="5" name="Straight Arrow Connector 4">
          <a:extLst>
            <a:ext uri="{FF2B5EF4-FFF2-40B4-BE49-F238E27FC236}">
              <a16:creationId xmlns:a16="http://schemas.microsoft.com/office/drawing/2014/main" id="{2B969985-FD09-4C2D-BE24-4ED4DE80DE85}"/>
            </a:ext>
          </a:extLst>
        </xdr:cNvPr>
        <xdr:cNvCxnSpPr/>
      </xdr:nvCxnSpPr>
      <xdr:spPr>
        <a:xfrm>
          <a:off x="1228224" y="17032204"/>
          <a:ext cx="1215690" cy="9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9400</xdr:colOff>
      <xdr:row>56</xdr:row>
      <xdr:rowOff>109663</xdr:rowOff>
    </xdr:from>
    <xdr:to>
      <xdr:col>5</xdr:col>
      <xdr:colOff>6267</xdr:colOff>
      <xdr:row>56</xdr:row>
      <xdr:rowOff>112796</xdr:rowOff>
    </xdr:to>
    <xdr:cxnSp macro="">
      <xdr:nvCxnSpPr>
        <xdr:cNvPr id="6" name="Straight Arrow Connector 5">
          <a:extLst>
            <a:ext uri="{FF2B5EF4-FFF2-40B4-BE49-F238E27FC236}">
              <a16:creationId xmlns:a16="http://schemas.microsoft.com/office/drawing/2014/main" id="{7AD20586-FB37-4998-BF2C-1F625C258F81}"/>
            </a:ext>
          </a:extLst>
        </xdr:cNvPr>
        <xdr:cNvCxnSpPr/>
      </xdr:nvCxnSpPr>
      <xdr:spPr>
        <a:xfrm>
          <a:off x="1231357" y="11796587"/>
          <a:ext cx="1218824" cy="313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1033964</xdr:colOff>
      <xdr:row>27</xdr:row>
      <xdr:rowOff>187993</xdr:rowOff>
    </xdr:from>
    <xdr:to>
      <xdr:col>14</xdr:col>
      <xdr:colOff>701842</xdr:colOff>
      <xdr:row>48</xdr:row>
      <xdr:rowOff>100264</xdr:rowOff>
    </xdr:to>
    <xdr:cxnSp macro="">
      <xdr:nvCxnSpPr>
        <xdr:cNvPr id="7" name="Straight Arrow Connector 6">
          <a:extLst>
            <a:ext uri="{FF2B5EF4-FFF2-40B4-BE49-F238E27FC236}">
              <a16:creationId xmlns:a16="http://schemas.microsoft.com/office/drawing/2014/main" id="{C98F3601-12B5-441F-919A-39975E947F23}"/>
            </a:ext>
          </a:extLst>
        </xdr:cNvPr>
        <xdr:cNvCxnSpPr/>
      </xdr:nvCxnSpPr>
      <xdr:spPr>
        <a:xfrm>
          <a:off x="8111916" y="5689934"/>
          <a:ext cx="3534276" cy="43050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1037097</xdr:colOff>
      <xdr:row>39</xdr:row>
      <xdr:rowOff>191127</xdr:rowOff>
    </xdr:from>
    <xdr:to>
      <xdr:col>15</xdr:col>
      <xdr:colOff>0</xdr:colOff>
      <xdr:row>49</xdr:row>
      <xdr:rowOff>93997</xdr:rowOff>
    </xdr:to>
    <xdr:cxnSp macro="">
      <xdr:nvCxnSpPr>
        <xdr:cNvPr id="8" name="Straight Arrow Connector 7">
          <a:extLst>
            <a:ext uri="{FF2B5EF4-FFF2-40B4-BE49-F238E27FC236}">
              <a16:creationId xmlns:a16="http://schemas.microsoft.com/office/drawing/2014/main" id="{5A9EFB12-06D1-4288-906B-8CAE834C471F}"/>
            </a:ext>
          </a:extLst>
        </xdr:cNvPr>
        <xdr:cNvCxnSpPr/>
      </xdr:nvCxnSpPr>
      <xdr:spPr>
        <a:xfrm>
          <a:off x="7068553" y="8061785"/>
          <a:ext cx="4580773" cy="211805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6266</xdr:colOff>
      <xdr:row>50</xdr:row>
      <xdr:rowOff>115930</xdr:rowOff>
    </xdr:from>
    <xdr:to>
      <xdr:col>14</xdr:col>
      <xdr:colOff>701842</xdr:colOff>
      <xdr:row>66</xdr:row>
      <xdr:rowOff>194260</xdr:rowOff>
    </xdr:to>
    <xdr:cxnSp macro="">
      <xdr:nvCxnSpPr>
        <xdr:cNvPr id="9" name="Straight Arrow Connector 8">
          <a:extLst>
            <a:ext uri="{FF2B5EF4-FFF2-40B4-BE49-F238E27FC236}">
              <a16:creationId xmlns:a16="http://schemas.microsoft.com/office/drawing/2014/main" id="{99991466-91A7-4314-921F-C0A11B2B2374}"/>
            </a:ext>
          </a:extLst>
        </xdr:cNvPr>
        <xdr:cNvCxnSpPr/>
      </xdr:nvCxnSpPr>
      <xdr:spPr>
        <a:xfrm flipV="1">
          <a:off x="8130715" y="10402303"/>
          <a:ext cx="3515477" cy="342774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3133</xdr:colOff>
      <xdr:row>51</xdr:row>
      <xdr:rowOff>106530</xdr:rowOff>
    </xdr:from>
    <xdr:to>
      <xdr:col>14</xdr:col>
      <xdr:colOff>698709</xdr:colOff>
      <xdr:row>93</xdr:row>
      <xdr:rowOff>197393</xdr:rowOff>
    </xdr:to>
    <xdr:cxnSp macro="">
      <xdr:nvCxnSpPr>
        <xdr:cNvPr id="10" name="Straight Arrow Connector 9">
          <a:extLst>
            <a:ext uri="{FF2B5EF4-FFF2-40B4-BE49-F238E27FC236}">
              <a16:creationId xmlns:a16="http://schemas.microsoft.com/office/drawing/2014/main" id="{027E197D-60C9-40E8-8857-AFF7E1AD91FE}"/>
            </a:ext>
          </a:extLst>
        </xdr:cNvPr>
        <xdr:cNvCxnSpPr/>
      </xdr:nvCxnSpPr>
      <xdr:spPr>
        <a:xfrm flipV="1">
          <a:off x="8127582" y="10659227"/>
          <a:ext cx="3515477" cy="86006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1091712</xdr:colOff>
      <xdr:row>52</xdr:row>
      <xdr:rowOff>122154</xdr:rowOff>
    </xdr:from>
    <xdr:to>
      <xdr:col>15</xdr:col>
      <xdr:colOff>3133</xdr:colOff>
      <xdr:row>121</xdr:row>
      <xdr:rowOff>0</xdr:rowOff>
    </xdr:to>
    <xdr:cxnSp macro="">
      <xdr:nvCxnSpPr>
        <xdr:cNvPr id="11" name="Straight Arrow Connector 10">
          <a:extLst>
            <a:ext uri="{FF2B5EF4-FFF2-40B4-BE49-F238E27FC236}">
              <a16:creationId xmlns:a16="http://schemas.microsoft.com/office/drawing/2014/main" id="{E61B45F7-F47C-49BC-AF32-29D26C8760DA}"/>
            </a:ext>
          </a:extLst>
        </xdr:cNvPr>
        <xdr:cNvCxnSpPr/>
      </xdr:nvCxnSpPr>
      <xdr:spPr>
        <a:xfrm flipV="1">
          <a:off x="9341827" y="10775500"/>
          <a:ext cx="3673921" cy="13799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1020535</xdr:colOff>
      <xdr:row>55</xdr:row>
      <xdr:rowOff>19050</xdr:rowOff>
    </xdr:from>
    <xdr:to>
      <xdr:col>22</xdr:col>
      <xdr:colOff>1028700</xdr:colOff>
      <xdr:row>63</xdr:row>
      <xdr:rowOff>190500</xdr:rowOff>
    </xdr:to>
    <xdr:cxnSp macro="">
      <xdr:nvCxnSpPr>
        <xdr:cNvPr id="12" name="Straight Arrow Connector 11">
          <a:extLst>
            <a:ext uri="{FF2B5EF4-FFF2-40B4-BE49-F238E27FC236}">
              <a16:creationId xmlns:a16="http://schemas.microsoft.com/office/drawing/2014/main" id="{458D728E-4BFD-47A2-94C1-0E025ACCAF86}"/>
            </a:ext>
          </a:extLst>
        </xdr:cNvPr>
        <xdr:cNvCxnSpPr/>
      </xdr:nvCxnSpPr>
      <xdr:spPr>
        <a:xfrm flipH="1">
          <a:off x="21670735" y="11982450"/>
          <a:ext cx="8165" cy="17526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1104899</xdr:colOff>
      <xdr:row>74</xdr:row>
      <xdr:rowOff>43543</xdr:rowOff>
    </xdr:from>
    <xdr:to>
      <xdr:col>22</xdr:col>
      <xdr:colOff>1115785</xdr:colOff>
      <xdr:row>78</xdr:row>
      <xdr:rowOff>27214</xdr:rowOff>
    </xdr:to>
    <xdr:cxnSp macro="">
      <xdr:nvCxnSpPr>
        <xdr:cNvPr id="15" name="Straight Arrow Connector 14">
          <a:extLst>
            <a:ext uri="{FF2B5EF4-FFF2-40B4-BE49-F238E27FC236}">
              <a16:creationId xmlns:a16="http://schemas.microsoft.com/office/drawing/2014/main" id="{1BA3D707-F68E-46DE-8784-425DF0D815C0}"/>
            </a:ext>
          </a:extLst>
        </xdr:cNvPr>
        <xdr:cNvCxnSpPr/>
      </xdr:nvCxnSpPr>
      <xdr:spPr>
        <a:xfrm>
          <a:off x="21733328" y="15855043"/>
          <a:ext cx="10886" cy="94977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54428</xdr:colOff>
      <xdr:row>50</xdr:row>
      <xdr:rowOff>108857</xdr:rowOff>
    </xdr:from>
    <xdr:to>
      <xdr:col>21</xdr:col>
      <xdr:colOff>0</xdr:colOff>
      <xdr:row>50</xdr:row>
      <xdr:rowOff>108857</xdr:rowOff>
    </xdr:to>
    <xdr:cxnSp macro="">
      <xdr:nvCxnSpPr>
        <xdr:cNvPr id="17" name="Straight Arrow Connector 16">
          <a:extLst>
            <a:ext uri="{FF2B5EF4-FFF2-40B4-BE49-F238E27FC236}">
              <a16:creationId xmlns:a16="http://schemas.microsoft.com/office/drawing/2014/main" id="{B8DFB688-C24F-4FD9-AC2F-788222BB5E59}"/>
            </a:ext>
          </a:extLst>
        </xdr:cNvPr>
        <xdr:cNvCxnSpPr/>
      </xdr:nvCxnSpPr>
      <xdr:spPr>
        <a:xfrm>
          <a:off x="15471321" y="10681607"/>
          <a:ext cx="3714750"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ducation.ohio.gov/Topics/Data/Report-Card-Resources/Resources-and-Technical-Document" TargetMode="External"/><Relationship Id="rId1" Type="http://schemas.openxmlformats.org/officeDocument/2006/relationships/hyperlink" Target="https://education.ohio.gov/getattachment/Topics/Data/Report-Card-Resources/Traditional-Report-Cards/Traditional-Achievement-Component-Technical-Document.pdf.aspx?lang=en-U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ducation.ohio.gov/Topics/Data/Report-Card-Resources/Resources-and-Technical-Document" TargetMode="External"/><Relationship Id="rId1" Type="http://schemas.openxmlformats.org/officeDocument/2006/relationships/hyperlink" Target="https://education.ohio.gov/getattachment/Topics/Data/Report-Card-Resources/Traditional-Report-Cards/Traditional-Progress-Technical-Document.pdf.aspx?lang=en-US"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ducation.ohio.gov/Topics/Data/Report-Card-Resources/Resources-and-Technical-Document" TargetMode="External"/><Relationship Id="rId1" Type="http://schemas.openxmlformats.org/officeDocument/2006/relationships/hyperlink" Target="https://education.ohio.gov/getattachment/Topics/Data/Report-Card-Resources/Traditional-Report-Cards/Traditional-Gap-Closing-Technical-Document.pdf.aspx?lang=en-US"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ducation.ohio.gov/Topics/Data/Report-Card-Resources/Resources-and-Technical-Document" TargetMode="External"/><Relationship Id="rId1" Type="http://schemas.openxmlformats.org/officeDocument/2006/relationships/hyperlink" Target="https://education.ohio.gov/getattachment/Topics/Data/Report-Card-Resources/Traditional-Report-Cards/Traditional-Gifted-Performance-Indicator.pdf.aspx?lang=en-US"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ducation.ohio.gov/Topics/Data/Report-Card-Resources/Resources-and-Technical-Document" TargetMode="External"/><Relationship Id="rId1" Type="http://schemas.openxmlformats.org/officeDocument/2006/relationships/hyperlink" Target="https://education.ohio.gov/getattachment/Topics/Data/Report-Card-Resources/Traditional-Report-Cards/Traditional-Gifted-Performance-Indicator.pdf.aspx?lang=en-US"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ducation.ohio.gov/Topics/Data/Report-Card-Resources/Resources-and-Technical-Document" TargetMode="External"/><Relationship Id="rId1" Type="http://schemas.openxmlformats.org/officeDocument/2006/relationships/hyperlink" Target="https://education.ohio.gov/getattachment/Topics/Data/Report-Card-Resources/Traditional-Report-Cards/Traditional-Early-Literacy-Component-Technical-Document.pdf.aspx?lang=en-US"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ducation.ohio.gov/Topics/Data/Report-Card-Resources/Resources-and-Technical-Document" TargetMode="External"/><Relationship Id="rId1" Type="http://schemas.openxmlformats.org/officeDocument/2006/relationships/hyperlink" Target="https://education.ohio.gov/getattachment/Topics/Data/Report-Card-Resources/Traditional-Report-Cards/Traditional-Graduation-Component-Technical-Document.pdf.aspx?lang=en-US"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education.ohio.gov/Topics/Data/Report-Card-Resources/Resources-and-Technical-Document" TargetMode="External"/><Relationship Id="rId1" Type="http://schemas.openxmlformats.org/officeDocument/2006/relationships/hyperlink" Target="https://education.ohio.gov/getattachment/Topics/Data/Report-Card-Resources/Traditional-Report-Cards/Traditional-Overall-and-Component-Rating-Technical-Document.pdf.aspx?lang=en-US"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AE684-F274-4980-A90E-43F0E900E5C1}">
  <dimension ref="A1:M9"/>
  <sheetViews>
    <sheetView workbookViewId="0">
      <pane ySplit="1" topLeftCell="A2" activePane="bottomLeft" state="frozenSplit"/>
      <selection pane="bottomLeft"/>
    </sheetView>
  </sheetViews>
  <sheetFormatPr defaultColWidth="9.1796875" defaultRowHeight="16" x14ac:dyDescent="0.4"/>
  <cols>
    <col min="1" max="1" width="156.81640625" style="393" customWidth="1"/>
    <col min="2" max="2" width="11.81640625" style="393" bestFit="1" customWidth="1"/>
    <col min="3" max="16384" width="9.1796875" style="393"/>
  </cols>
  <sheetData>
    <row r="1" spans="1:13" s="390" customFormat="1" ht="48" x14ac:dyDescent="0.4">
      <c r="A1" s="388" t="s">
        <v>0</v>
      </c>
      <c r="B1" s="389"/>
      <c r="C1" s="389"/>
      <c r="D1" s="389"/>
      <c r="E1" s="389"/>
      <c r="F1" s="389"/>
      <c r="G1" s="389"/>
      <c r="H1" s="389"/>
      <c r="I1" s="389"/>
      <c r="J1" s="389"/>
      <c r="K1" s="389"/>
      <c r="L1" s="389"/>
      <c r="M1" s="389"/>
    </row>
    <row r="2" spans="1:13" s="390" customFormat="1" x14ac:dyDescent="0.4">
      <c r="A2" s="389"/>
      <c r="B2" s="389"/>
      <c r="C2" s="389"/>
      <c r="D2" s="389"/>
      <c r="E2" s="389"/>
      <c r="F2" s="389"/>
      <c r="G2" s="389"/>
      <c r="H2" s="389"/>
      <c r="I2" s="389"/>
      <c r="J2" s="389"/>
      <c r="K2" s="389"/>
      <c r="L2" s="389"/>
      <c r="M2" s="389"/>
    </row>
    <row r="3" spans="1:13" s="390" customFormat="1" x14ac:dyDescent="0.4">
      <c r="A3" s="391" t="s">
        <v>1</v>
      </c>
      <c r="B3" s="392" t="s">
        <v>2</v>
      </c>
      <c r="C3" s="389"/>
      <c r="D3" s="389"/>
      <c r="E3" s="389"/>
      <c r="F3" s="389"/>
      <c r="G3" s="389"/>
      <c r="H3" s="389"/>
      <c r="I3" s="389"/>
      <c r="J3" s="389"/>
      <c r="K3" s="389"/>
      <c r="L3" s="389"/>
      <c r="M3" s="389"/>
    </row>
    <row r="4" spans="1:13" s="390" customFormat="1" x14ac:dyDescent="0.4">
      <c r="C4" s="389"/>
      <c r="D4" s="389"/>
      <c r="E4" s="389"/>
      <c r="F4" s="389"/>
      <c r="G4" s="389"/>
      <c r="H4" s="389"/>
      <c r="I4" s="389"/>
      <c r="J4" s="389"/>
      <c r="K4" s="389"/>
      <c r="L4" s="389"/>
      <c r="M4" s="389"/>
    </row>
    <row r="5" spans="1:13" s="390" customFormat="1" x14ac:dyDescent="0.4">
      <c r="A5" s="393" t="s">
        <v>3</v>
      </c>
      <c r="B5" s="394">
        <v>45204</v>
      </c>
      <c r="C5" s="389"/>
      <c r="D5" s="389"/>
      <c r="E5" s="389"/>
      <c r="F5" s="389"/>
      <c r="G5" s="389"/>
      <c r="H5" s="389"/>
      <c r="I5" s="389"/>
      <c r="J5" s="389"/>
      <c r="K5" s="389"/>
      <c r="L5" s="389"/>
      <c r="M5" s="389"/>
    </row>
    <row r="6" spans="1:13" s="390" customFormat="1" x14ac:dyDescent="0.4">
      <c r="A6" s="395" t="s">
        <v>4</v>
      </c>
      <c r="B6" s="394">
        <v>45213</v>
      </c>
      <c r="C6" s="389"/>
      <c r="D6" s="389"/>
      <c r="E6" s="389"/>
      <c r="F6" s="389"/>
      <c r="G6" s="389"/>
      <c r="H6" s="389"/>
      <c r="I6" s="389"/>
      <c r="J6" s="389"/>
      <c r="K6" s="389"/>
      <c r="L6" s="389"/>
      <c r="M6" s="389"/>
    </row>
    <row r="7" spans="1:13" ht="18.75" customHeight="1" x14ac:dyDescent="0.4">
      <c r="A7" s="396" t="s">
        <v>5</v>
      </c>
      <c r="B7" s="397">
        <v>45286</v>
      </c>
    </row>
    <row r="8" spans="1:13" x14ac:dyDescent="0.4">
      <c r="A8" s="393" t="s">
        <v>6</v>
      </c>
      <c r="B8" s="394">
        <v>45286</v>
      </c>
    </row>
    <row r="9" spans="1:13" x14ac:dyDescent="0.4">
      <c r="A9" s="393" t="s">
        <v>283</v>
      </c>
      <c r="B9" s="394">
        <v>45552</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2AEF5-7DD5-42EF-95FA-3FECD8100074}">
  <dimension ref="A1:P33"/>
  <sheetViews>
    <sheetView zoomScaleNormal="100" workbookViewId="0">
      <selection activeCell="B18" sqref="B18"/>
    </sheetView>
  </sheetViews>
  <sheetFormatPr defaultColWidth="9.1796875" defaultRowHeight="14.5" x14ac:dyDescent="0.35"/>
  <cols>
    <col min="1" max="1" width="18.26953125" style="2" bestFit="1" customWidth="1"/>
    <col min="2" max="2" width="43.26953125" style="2" bestFit="1" customWidth="1"/>
    <col min="3" max="3" width="18.7265625" style="2" bestFit="1" customWidth="1"/>
    <col min="4" max="4" width="15.26953125" style="2" bestFit="1" customWidth="1"/>
    <col min="5" max="5" width="9.1796875" style="2"/>
    <col min="6" max="6" width="43.26953125" style="2" bestFit="1" customWidth="1"/>
    <col min="7" max="7" width="19.1796875" style="2" bestFit="1" customWidth="1"/>
    <col min="8" max="9" width="9.1796875" style="2"/>
    <col min="10" max="10" width="9.1796875" style="2" customWidth="1"/>
    <col min="11" max="16384" width="9.1796875" style="2"/>
  </cols>
  <sheetData>
    <row r="1" spans="1:16" x14ac:dyDescent="0.35">
      <c r="A1" s="1" t="s">
        <v>7</v>
      </c>
    </row>
    <row r="2" spans="1:16" x14ac:dyDescent="0.35">
      <c r="A2" s="2" t="s">
        <v>8</v>
      </c>
    </row>
    <row r="3" spans="1:16" x14ac:dyDescent="0.35">
      <c r="A3" s="2" t="s">
        <v>9</v>
      </c>
    </row>
    <row r="5" spans="1:16" ht="21" x14ac:dyDescent="0.5">
      <c r="A5" s="436" t="s">
        <v>10</v>
      </c>
      <c r="B5" s="437"/>
      <c r="C5" s="437"/>
      <c r="D5" s="438"/>
      <c r="E5" s="439" t="s">
        <v>11</v>
      </c>
      <c r="F5" s="440"/>
      <c r="G5" s="440"/>
      <c r="H5" s="441"/>
      <c r="I5" s="444" t="s">
        <v>12</v>
      </c>
      <c r="J5" s="445"/>
      <c r="K5" s="445"/>
      <c r="L5" s="445"/>
      <c r="M5" s="445"/>
      <c r="N5" s="445"/>
      <c r="O5" s="445"/>
      <c r="P5" s="446"/>
    </row>
    <row r="6" spans="1:16" ht="15" thickBot="1" x14ac:dyDescent="0.4">
      <c r="A6" s="208"/>
      <c r="B6" s="40"/>
      <c r="C6" s="40"/>
      <c r="D6" s="209"/>
      <c r="E6" s="353"/>
      <c r="F6" s="292"/>
      <c r="G6" s="292"/>
      <c r="H6" s="293"/>
      <c r="I6" s="210"/>
      <c r="J6" s="211"/>
      <c r="K6" s="211"/>
      <c r="L6" s="211"/>
      <c r="M6" s="211"/>
      <c r="N6" s="211"/>
      <c r="O6" s="211"/>
      <c r="P6" s="212"/>
    </row>
    <row r="7" spans="1:16" ht="19.5" customHeight="1" thickBot="1" x14ac:dyDescent="0.4">
      <c r="A7" s="430" t="s">
        <v>13</v>
      </c>
      <c r="B7" s="431"/>
      <c r="C7" s="431"/>
      <c r="D7" s="432"/>
      <c r="E7" s="353"/>
      <c r="F7" s="292"/>
      <c r="G7" s="292"/>
      <c r="H7" s="293"/>
      <c r="I7" s="210"/>
      <c r="J7" s="211"/>
      <c r="K7" s="211"/>
      <c r="L7" s="211"/>
      <c r="M7" s="211"/>
      <c r="N7" s="211"/>
      <c r="O7" s="211"/>
      <c r="P7" s="212"/>
    </row>
    <row r="8" spans="1:16" ht="15" thickBot="1" x14ac:dyDescent="0.4">
      <c r="A8" s="354" t="s">
        <v>14</v>
      </c>
      <c r="B8" s="355" t="s">
        <v>15</v>
      </c>
      <c r="C8" s="355" t="s">
        <v>16</v>
      </c>
      <c r="D8" s="356" t="s">
        <v>17</v>
      </c>
      <c r="E8" s="353"/>
      <c r="F8" s="292"/>
      <c r="G8" s="292"/>
      <c r="H8" s="293"/>
      <c r="I8" s="210"/>
      <c r="J8" s="211"/>
      <c r="K8" s="211"/>
      <c r="L8" s="211"/>
      <c r="M8" s="211"/>
      <c r="N8" s="211"/>
      <c r="O8" s="211"/>
      <c r="P8" s="212"/>
    </row>
    <row r="9" spans="1:16" ht="15" thickBot="1" x14ac:dyDescent="0.4">
      <c r="A9" s="357" t="s">
        <v>18</v>
      </c>
      <c r="B9" s="358"/>
      <c r="C9" s="359">
        <v>1.3</v>
      </c>
      <c r="D9" s="360">
        <f>B9*C9</f>
        <v>0</v>
      </c>
      <c r="E9" s="353"/>
      <c r="F9" s="361" t="s">
        <v>19</v>
      </c>
      <c r="G9" s="362">
        <f>IF(OR(B16&gt;100),"% is not 100",SUM(D9:D15))</f>
        <v>0</v>
      </c>
      <c r="H9" s="293"/>
      <c r="I9" s="210"/>
      <c r="J9" s="211"/>
      <c r="K9" s="211"/>
      <c r="L9" s="211"/>
      <c r="M9" s="211"/>
      <c r="N9" s="211"/>
      <c r="O9" s="211"/>
      <c r="P9" s="212"/>
    </row>
    <row r="10" spans="1:16" ht="15.5" thickTop="1" thickBot="1" x14ac:dyDescent="0.4">
      <c r="A10" s="363" t="s">
        <v>20</v>
      </c>
      <c r="B10" s="229"/>
      <c r="C10" s="364">
        <v>1.2</v>
      </c>
      <c r="D10" s="365">
        <f t="shared" ref="D10:D15" si="0">B10*C10</f>
        <v>0</v>
      </c>
      <c r="E10" s="353"/>
      <c r="F10" s="292"/>
      <c r="G10" s="292"/>
      <c r="H10" s="293"/>
      <c r="I10" s="210"/>
      <c r="J10" s="211"/>
      <c r="K10" s="211"/>
      <c r="L10" s="211"/>
      <c r="M10" s="211"/>
      <c r="N10" s="211"/>
      <c r="O10" s="211"/>
      <c r="P10" s="212"/>
    </row>
    <row r="11" spans="1:16" ht="15.5" thickTop="1" thickBot="1" x14ac:dyDescent="0.4">
      <c r="A11" s="363" t="s">
        <v>21</v>
      </c>
      <c r="B11" s="229"/>
      <c r="C11" s="364">
        <v>1.1000000000000001</v>
      </c>
      <c r="D11" s="365">
        <f t="shared" si="0"/>
        <v>0</v>
      </c>
      <c r="E11" s="353"/>
      <c r="F11" s="292"/>
      <c r="G11" s="292"/>
      <c r="H11" s="293"/>
      <c r="I11" s="239"/>
      <c r="J11" s="456" t="s">
        <v>22</v>
      </c>
      <c r="K11" s="457"/>
      <c r="L11" s="457"/>
      <c r="M11" s="366" t="s">
        <v>23</v>
      </c>
      <c r="N11" s="211"/>
      <c r="O11" s="211"/>
      <c r="P11" s="212"/>
    </row>
    <row r="12" spans="1:16" ht="15.5" thickTop="1" thickBot="1" x14ac:dyDescent="0.4">
      <c r="A12" s="363" t="s">
        <v>24</v>
      </c>
      <c r="B12" s="229"/>
      <c r="C12" s="364">
        <v>1</v>
      </c>
      <c r="D12" s="365">
        <f t="shared" si="0"/>
        <v>0</v>
      </c>
      <c r="E12" s="353"/>
      <c r="F12" s="292"/>
      <c r="G12" s="292"/>
      <c r="H12" s="293"/>
      <c r="I12" s="210"/>
      <c r="J12" s="402">
        <v>0</v>
      </c>
      <c r="K12" s="403" t="s">
        <v>25</v>
      </c>
      <c r="L12" s="367">
        <v>0.5</v>
      </c>
      <c r="M12" s="219" t="s">
        <v>26</v>
      </c>
      <c r="N12" s="211"/>
      <c r="O12" s="211"/>
      <c r="P12" s="212"/>
    </row>
    <row r="13" spans="1:16" ht="15.5" thickTop="1" thickBot="1" x14ac:dyDescent="0.4">
      <c r="A13" s="363" t="s">
        <v>27</v>
      </c>
      <c r="B13" s="229"/>
      <c r="C13" s="364">
        <v>0.6</v>
      </c>
      <c r="D13" s="365">
        <f t="shared" si="0"/>
        <v>0</v>
      </c>
      <c r="E13" s="353"/>
      <c r="F13" s="442" t="s">
        <v>28</v>
      </c>
      <c r="G13" s="443"/>
      <c r="H13" s="293"/>
      <c r="I13" s="210"/>
      <c r="J13" s="368">
        <v>0.5</v>
      </c>
      <c r="K13" s="218" t="s">
        <v>25</v>
      </c>
      <c r="L13" s="320">
        <v>0.7</v>
      </c>
      <c r="M13" s="219" t="s">
        <v>29</v>
      </c>
      <c r="N13" s="211"/>
      <c r="O13" s="211"/>
      <c r="P13" s="212"/>
    </row>
    <row r="14" spans="1:16" ht="15.5" thickTop="1" thickBot="1" x14ac:dyDescent="0.4">
      <c r="A14" s="363" t="s">
        <v>30</v>
      </c>
      <c r="B14" s="229"/>
      <c r="C14" s="364">
        <v>0.3</v>
      </c>
      <c r="D14" s="365">
        <f t="shared" si="0"/>
        <v>0</v>
      </c>
      <c r="E14" s="353"/>
      <c r="F14" s="369" t="s">
        <v>284</v>
      </c>
      <c r="G14" s="370">
        <v>109.3</v>
      </c>
      <c r="H14" s="293"/>
      <c r="I14" s="210"/>
      <c r="J14" s="368">
        <v>0.7</v>
      </c>
      <c r="K14" s="218" t="s">
        <v>25</v>
      </c>
      <c r="L14" s="320">
        <v>0.8</v>
      </c>
      <c r="M14" s="219" t="s">
        <v>31</v>
      </c>
      <c r="N14" s="211"/>
      <c r="O14" s="211"/>
      <c r="P14" s="212"/>
    </row>
    <row r="15" spans="1:16" ht="15.5" thickTop="1" thickBot="1" x14ac:dyDescent="0.4">
      <c r="A15" s="371" t="s">
        <v>32</v>
      </c>
      <c r="B15" s="372"/>
      <c r="C15" s="373">
        <v>0</v>
      </c>
      <c r="D15" s="374">
        <f t="shared" si="0"/>
        <v>0</v>
      </c>
      <c r="E15" s="353"/>
      <c r="F15" s="369" t="s">
        <v>285</v>
      </c>
      <c r="G15" s="370">
        <v>110.5</v>
      </c>
      <c r="H15" s="293"/>
      <c r="I15" s="210"/>
      <c r="J15" s="368">
        <v>0.8</v>
      </c>
      <c r="K15" s="218" t="s">
        <v>25</v>
      </c>
      <c r="L15" s="320">
        <v>0.9</v>
      </c>
      <c r="M15" s="219" t="s">
        <v>33</v>
      </c>
      <c r="N15" s="211"/>
      <c r="O15" s="211"/>
      <c r="P15" s="212"/>
    </row>
    <row r="16" spans="1:16" ht="15" thickBot="1" x14ac:dyDescent="0.4">
      <c r="A16" s="375" t="s">
        <v>34</v>
      </c>
      <c r="B16" s="409">
        <f>SUM(B9:B15)</f>
        <v>0</v>
      </c>
      <c r="C16" s="40"/>
      <c r="D16" s="209"/>
      <c r="E16" s="353"/>
      <c r="F16" s="361" t="s">
        <v>35</v>
      </c>
      <c r="G16" s="376">
        <f>IF(B18="District", G9/G14, G9/G15)</f>
        <v>0</v>
      </c>
      <c r="H16" s="293"/>
      <c r="I16" s="210"/>
      <c r="J16" s="377">
        <v>0.9</v>
      </c>
      <c r="K16" s="221" t="s">
        <v>25</v>
      </c>
      <c r="L16" s="378" t="s">
        <v>36</v>
      </c>
      <c r="M16" s="222" t="s">
        <v>37</v>
      </c>
      <c r="N16" s="211"/>
      <c r="O16" s="211"/>
      <c r="P16" s="212"/>
    </row>
    <row r="17" spans="1:16" ht="15" thickBot="1" x14ac:dyDescent="0.4">
      <c r="A17" s="379"/>
      <c r="B17" s="399"/>
      <c r="C17" s="380"/>
      <c r="D17" s="400"/>
      <c r="E17" s="353"/>
      <c r="F17" s="292"/>
      <c r="G17" s="292"/>
      <c r="H17" s="293"/>
      <c r="I17" s="210"/>
      <c r="J17" s="211"/>
      <c r="K17" s="211"/>
      <c r="L17" s="211"/>
      <c r="M17" s="211"/>
      <c r="N17" s="211"/>
      <c r="O17" s="211"/>
      <c r="P17" s="212"/>
    </row>
    <row r="18" spans="1:16" ht="15.5" thickTop="1" thickBot="1" x14ac:dyDescent="0.4">
      <c r="A18" s="381" t="s">
        <v>38</v>
      </c>
      <c r="B18" s="302" t="s">
        <v>39</v>
      </c>
      <c r="C18" s="40"/>
      <c r="D18" s="209"/>
      <c r="E18" s="353"/>
      <c r="F18" s="292"/>
      <c r="G18" s="292"/>
      <c r="H18" s="293"/>
      <c r="I18" s="210"/>
      <c r="J18" s="211"/>
      <c r="K18" s="211"/>
      <c r="L18" s="211"/>
      <c r="M18" s="211"/>
      <c r="N18" s="211"/>
      <c r="O18" s="211"/>
      <c r="P18" s="212"/>
    </row>
    <row r="19" spans="1:16" x14ac:dyDescent="0.35">
      <c r="A19" s="208"/>
      <c r="B19" s="40"/>
      <c r="C19" s="40"/>
      <c r="D19" s="209"/>
      <c r="E19" s="353"/>
      <c r="F19" s="292"/>
      <c r="G19" s="292"/>
      <c r="H19" s="293"/>
      <c r="I19" s="210"/>
      <c r="J19" s="211"/>
      <c r="K19" s="211"/>
      <c r="L19" s="211"/>
      <c r="M19" s="211"/>
      <c r="N19" s="211"/>
      <c r="O19" s="211"/>
      <c r="P19" s="212"/>
    </row>
    <row r="20" spans="1:16" ht="15" thickBot="1" x14ac:dyDescent="0.4">
      <c r="A20" s="433"/>
      <c r="B20" s="434"/>
      <c r="C20" s="434"/>
      <c r="D20" s="435"/>
      <c r="E20" s="353"/>
      <c r="F20" s="382"/>
      <c r="G20" s="382"/>
      <c r="H20" s="293"/>
      <c r="I20" s="210"/>
      <c r="J20" s="211"/>
      <c r="K20" s="211"/>
      <c r="L20" s="211"/>
      <c r="M20" s="211"/>
      <c r="N20" s="211"/>
      <c r="O20" s="211"/>
      <c r="P20" s="212"/>
    </row>
    <row r="21" spans="1:16" x14ac:dyDescent="0.35">
      <c r="A21" s="208"/>
      <c r="B21" s="40"/>
      <c r="C21" s="40"/>
      <c r="D21" s="209"/>
      <c r="E21" s="353"/>
      <c r="F21" s="292"/>
      <c r="G21" s="292"/>
      <c r="H21" s="293"/>
      <c r="I21" s="210"/>
      <c r="J21" s="450" t="s">
        <v>40</v>
      </c>
      <c r="K21" s="451"/>
      <c r="L21" s="451"/>
      <c r="M21" s="451"/>
      <c r="N21" s="452"/>
      <c r="O21" s="448" t="str">
        <f>IF(G16&gt;=J16,"5 Stars",IF(AND(G16&gt;=J15,G16&lt;L15),"4 Stars",IF(AND(G16&gt;=J14,G16&lt;L14),"3 Stars",IF(AND(G16&gt;=J13,G16&lt;L13),"2 Stars",IF(AND(G16&lt;L12),"1 Star", "Error")))))</f>
        <v>1 Star</v>
      </c>
      <c r="P21" s="212"/>
    </row>
    <row r="22" spans="1:16" ht="15" thickBot="1" x14ac:dyDescent="0.4">
      <c r="A22" s="208"/>
      <c r="B22" s="40"/>
      <c r="C22" s="40"/>
      <c r="D22" s="400"/>
      <c r="E22" s="353"/>
      <c r="F22" s="292"/>
      <c r="G22" s="292"/>
      <c r="H22" s="293"/>
      <c r="I22" s="210"/>
      <c r="J22" s="453"/>
      <c r="K22" s="454"/>
      <c r="L22" s="454"/>
      <c r="M22" s="454"/>
      <c r="N22" s="455"/>
      <c r="O22" s="449"/>
      <c r="P22" s="212"/>
    </row>
    <row r="23" spans="1:16" x14ac:dyDescent="0.35">
      <c r="A23" s="208"/>
      <c r="B23" s="40"/>
      <c r="C23" s="40"/>
      <c r="D23" s="209"/>
      <c r="E23" s="353"/>
      <c r="F23" s="447" t="s">
        <v>41</v>
      </c>
      <c r="G23" s="447"/>
      <c r="H23" s="293"/>
      <c r="I23" s="210"/>
      <c r="J23" s="211"/>
      <c r="K23" s="211"/>
      <c r="L23" s="211"/>
      <c r="M23" s="211"/>
      <c r="N23" s="211"/>
      <c r="O23" s="211"/>
      <c r="P23" s="212"/>
    </row>
    <row r="24" spans="1:16" x14ac:dyDescent="0.35">
      <c r="A24" s="208"/>
      <c r="B24" s="40"/>
      <c r="C24" s="40"/>
      <c r="D24" s="209"/>
      <c r="E24" s="353"/>
      <c r="F24" s="447"/>
      <c r="G24" s="447"/>
      <c r="H24" s="293"/>
      <c r="I24" s="210"/>
      <c r="J24" s="211"/>
      <c r="K24" s="211"/>
      <c r="L24" s="211"/>
      <c r="M24" s="211"/>
      <c r="N24" s="211"/>
      <c r="O24" s="211"/>
      <c r="P24" s="212"/>
    </row>
    <row r="25" spans="1:16" ht="21" customHeight="1" x14ac:dyDescent="0.35">
      <c r="A25" s="208"/>
      <c r="B25" s="40"/>
      <c r="C25" s="40"/>
      <c r="D25" s="209"/>
      <c r="E25" s="353"/>
      <c r="F25" s="292"/>
      <c r="G25" s="292"/>
      <c r="H25" s="293"/>
      <c r="I25" s="210"/>
      <c r="J25" s="211"/>
      <c r="K25" s="211"/>
      <c r="L25" s="211"/>
      <c r="M25" s="211"/>
      <c r="N25" s="211"/>
      <c r="O25" s="211"/>
      <c r="P25" s="212"/>
    </row>
    <row r="26" spans="1:16" x14ac:dyDescent="0.35">
      <c r="A26" s="208"/>
      <c r="B26" s="40"/>
      <c r="C26" s="40"/>
      <c r="D26" s="209"/>
      <c r="E26" s="353"/>
      <c r="F26" s="292"/>
      <c r="G26" s="292"/>
      <c r="H26" s="293"/>
      <c r="I26" s="210"/>
      <c r="J26" s="211"/>
      <c r="K26" s="211"/>
      <c r="L26" s="211"/>
      <c r="M26" s="211"/>
      <c r="N26" s="211"/>
      <c r="O26" s="211"/>
      <c r="P26" s="212"/>
    </row>
    <row r="27" spans="1:16" x14ac:dyDescent="0.35">
      <c r="A27" s="208"/>
      <c r="B27" s="40"/>
      <c r="C27" s="40"/>
      <c r="D27" s="209"/>
      <c r="E27" s="353"/>
      <c r="F27" s="292"/>
      <c r="G27" s="292"/>
      <c r="H27" s="293"/>
      <c r="I27" s="210"/>
      <c r="J27" s="211"/>
      <c r="K27" s="211"/>
      <c r="L27" s="211"/>
      <c r="M27" s="211"/>
      <c r="N27" s="211"/>
      <c r="O27" s="211"/>
      <c r="P27" s="212"/>
    </row>
    <row r="28" spans="1:16" x14ac:dyDescent="0.35">
      <c r="A28" s="351"/>
      <c r="B28" s="352"/>
      <c r="C28" s="352"/>
      <c r="D28" s="230"/>
      <c r="E28" s="383"/>
      <c r="F28" s="342"/>
      <c r="G28" s="342"/>
      <c r="H28" s="344"/>
      <c r="I28" s="231"/>
      <c r="J28" s="232"/>
      <c r="K28" s="232"/>
      <c r="L28" s="232"/>
      <c r="M28" s="232"/>
      <c r="N28" s="232"/>
      <c r="O28" s="232"/>
      <c r="P28" s="233"/>
    </row>
    <row r="30" spans="1:16" x14ac:dyDescent="0.35">
      <c r="A30" s="423" t="s">
        <v>42</v>
      </c>
    </row>
    <row r="31" spans="1:16" x14ac:dyDescent="0.35">
      <c r="A31" s="172" t="s">
        <v>43</v>
      </c>
    </row>
    <row r="33" spans="1:2" x14ac:dyDescent="0.35">
      <c r="A33" s="384"/>
      <c r="B33" s="385"/>
    </row>
  </sheetData>
  <sheetProtection sheet="1" objects="1" scenarios="1"/>
  <mergeCells count="10">
    <mergeCell ref="I5:P5"/>
    <mergeCell ref="F23:G24"/>
    <mergeCell ref="O21:O22"/>
    <mergeCell ref="J21:N22"/>
    <mergeCell ref="J11:L11"/>
    <mergeCell ref="A7:D7"/>
    <mergeCell ref="A20:D20"/>
    <mergeCell ref="A5:D5"/>
    <mergeCell ref="E5:H5"/>
    <mergeCell ref="F13:G13"/>
  </mergeCells>
  <conditionalFormatting sqref="B16:B17">
    <cfRule type="cellIs" dxfId="1" priority="2" operator="greaterThan">
      <formula>100</formula>
    </cfRule>
  </conditionalFormatting>
  <dataValidations count="8">
    <dataValidation type="list" allowBlank="1" showInputMessage="1" showErrorMessage="1" promptTitle="&lt;Select District or School&gt;" prompt="If running calculations for a District select District_x000a_If running calculations for a School select School_x000a_This allows the appropriate Max PI to be utilized for Denominator." sqref="B18" xr:uid="{6F8188B7-14DD-46E2-9C04-2AC297CBCA97}">
      <formula1>"School, District"</formula1>
    </dataValidation>
    <dataValidation allowBlank="1" showInputMessage="1" showErrorMessage="1" promptTitle="&lt;Enter % of Advanced Plus&gt;" prompt="Enter this information from:_x000a_*Report Card- Achievement Page&gt;&gt;Performance Index_x000a_*Download Data- District(School) Achievement Ratings _x000a_*SDC-Test Resutls&gt;&gt;District Test Results and Proficiency Levels&gt;&gt;Proficiency Level_x000a__x000a_" sqref="B9" xr:uid="{98754579-E6CD-4F23-A256-7245476D5BB4}"/>
    <dataValidation allowBlank="1" showInputMessage="1" showErrorMessage="1" promptTitle="&lt;Enter % of Advanced &gt;" prompt="Enter this information from:_x000a_*Report Card- Achievement Page&gt;&gt;Performance Index_x000a_*Download Data- District(School) Achievement Ratings _x000a_*SDC-Test Resutls&gt;&gt;District Test Results and Proficiency Levels&gt;&gt;Proficiency Level" sqref="B10" xr:uid="{91736AB6-FE24-4C1D-A6E6-9E3718CF3A07}"/>
    <dataValidation allowBlank="1" showInputMessage="1" showErrorMessage="1" promptTitle="&lt;Enter % of Accomplished&gt;" prompt="Enter this information from:_x000a_*Report Card- Achievement Page&gt;&gt;Performance Index_x000a_*Download Data- District(School) Achievement Ratings _x000a_*SDC-Test Resutls&gt;&gt;District Test Results and Proficiency Levels&gt;&gt;Proficiency Level" sqref="B11" xr:uid="{14143EDF-C36D-4DCF-85C2-364C284A6190}"/>
    <dataValidation allowBlank="1" showInputMessage="1" showErrorMessage="1" promptTitle="&lt;Enter % of Proficient&gt;" prompt="Enter this information from:_x000a_*Report Card- Achievement Page&gt;&gt;Performance Index_x000a_*Download Data- District(School) Achievement Ratings _x000a_*SDC-Test Resutls&gt;&gt;District Test Results and Proficiency Levels&gt;&gt;Proficiency Level" sqref="B12" xr:uid="{E948FE3E-0959-418C-89DE-BB355F03E721}"/>
    <dataValidation allowBlank="1" showInputMessage="1" showErrorMessage="1" promptTitle="&lt;Enter % of Basic&gt;" prompt="Enter this information from:_x000a_*Report Card- Achievement Page&gt;&gt;Performance Index_x000a_*Download Data- District(School) Achievement Ratings _x000a_*SDC-Test Resutls&gt;&gt;District Test Results and Proficiency Levels&gt;&gt;Proficiency Level" sqref="B13" xr:uid="{DBB2860E-EA96-4D6E-8DEF-2967738503AD}"/>
    <dataValidation allowBlank="1" showInputMessage="1" showErrorMessage="1" promptTitle="&lt;Enter % of Limited&gt;" prompt="Enter this information from:_x000a_*Report Card- Achievement Page&gt;&gt;Performance Index_x000a_*Download Data- District(School) Achievement Ratings _x000a_*SDC-Test Resutls&gt;&gt;District Test Results and Proficiency Levels&gt;&gt;Proficiency Level" sqref="B14" xr:uid="{91B0E593-91CF-4373-968B-DF77CCC30C24}"/>
    <dataValidation allowBlank="1" showInputMessage="1" showErrorMessage="1" promptTitle="&lt;Enter % of Untested&gt;" prompt="Enter this information from:_x000a_*Report Card- Achievement Page&gt;&gt;Performance Index_x000a_*Download Data- District(School) Achievement Ratings _x000a_*SDC-Test Resutls&gt;&gt;District Test Results and Proficiency Levels&gt;&gt;Proficiency Level" sqref="B15" xr:uid="{B23EFFC7-64C5-4F61-90EE-AB31D357A412}"/>
  </dataValidations>
  <hyperlinks>
    <hyperlink ref="A30" r:id="rId1" xr:uid="{17A0948E-86AF-4B6C-95BA-07E06C10EEEF}"/>
    <hyperlink ref="A31" r:id="rId2" xr:uid="{6FAB3CA7-9D45-4DF9-A1D4-7793196D426E}"/>
  </hyperlinks>
  <pageMargins left="0.7" right="0.7" top="0.75" bottom="0.75" header="0.3" footer="0.3"/>
  <pageSetup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D3E8-92DE-4BC8-BF69-2E58D483930C}">
  <dimension ref="A1:M21"/>
  <sheetViews>
    <sheetView workbookViewId="0">
      <selection activeCell="A7" sqref="A7"/>
    </sheetView>
  </sheetViews>
  <sheetFormatPr defaultColWidth="9.1796875" defaultRowHeight="14.5" x14ac:dyDescent="0.35"/>
  <cols>
    <col min="1" max="1" width="26.26953125" style="2" customWidth="1"/>
    <col min="2" max="3" width="9.1796875" style="2"/>
    <col min="4" max="4" width="23.7265625" style="2" bestFit="1" customWidth="1"/>
    <col min="5" max="8" width="9.1796875" style="2"/>
    <col min="9" max="9" width="12.26953125" style="2" customWidth="1"/>
    <col min="10" max="16384" width="9.1796875" style="2"/>
  </cols>
  <sheetData>
    <row r="1" spans="1:13" x14ac:dyDescent="0.35">
      <c r="A1" s="1" t="s">
        <v>7</v>
      </c>
    </row>
    <row r="2" spans="1:13" x14ac:dyDescent="0.35">
      <c r="A2" s="2" t="s">
        <v>44</v>
      </c>
    </row>
    <row r="4" spans="1:13" ht="21" x14ac:dyDescent="0.5">
      <c r="A4" s="436" t="s">
        <v>45</v>
      </c>
      <c r="B4" s="437"/>
      <c r="C4" s="437"/>
      <c r="D4" s="438"/>
      <c r="E4" s="469" t="s">
        <v>12</v>
      </c>
      <c r="F4" s="470"/>
      <c r="G4" s="470"/>
      <c r="H4" s="470"/>
      <c r="I4" s="470"/>
      <c r="J4" s="470"/>
      <c r="K4" s="470"/>
      <c r="L4" s="470"/>
      <c r="M4" s="471"/>
    </row>
    <row r="5" spans="1:13" ht="15" thickBot="1" x14ac:dyDescent="0.4">
      <c r="A5" s="398"/>
      <c r="B5" s="399"/>
      <c r="C5" s="399"/>
      <c r="D5" s="400"/>
      <c r="E5" s="210"/>
      <c r="F5" s="211"/>
      <c r="G5" s="211"/>
      <c r="H5" s="211"/>
      <c r="I5" s="211"/>
      <c r="J5" s="211"/>
      <c r="K5" s="211"/>
      <c r="L5" s="211"/>
      <c r="M5" s="212"/>
    </row>
    <row r="6" spans="1:13" ht="15" thickBot="1" x14ac:dyDescent="0.4">
      <c r="A6" s="345" t="s">
        <v>46</v>
      </c>
      <c r="B6" s="40"/>
      <c r="C6" s="40"/>
      <c r="D6" s="209"/>
      <c r="E6" s="210"/>
      <c r="F6" s="211"/>
      <c r="G6" s="211"/>
      <c r="H6" s="211"/>
      <c r="I6" s="211"/>
      <c r="J6" s="211"/>
      <c r="K6" s="211"/>
      <c r="L6" s="211"/>
      <c r="M6" s="212"/>
    </row>
    <row r="7" spans="1:13" ht="19.5" thickTop="1" thickBot="1" x14ac:dyDescent="0.5">
      <c r="A7" s="294" t="s">
        <v>39</v>
      </c>
      <c r="B7" s="40"/>
      <c r="C7" s="40"/>
      <c r="D7" s="209"/>
      <c r="E7" s="210"/>
      <c r="F7" s="346"/>
      <c r="G7" s="472" t="str">
        <f>A7</f>
        <v>District</v>
      </c>
      <c r="H7" s="473"/>
      <c r="I7" s="473" t="s">
        <v>47</v>
      </c>
      <c r="J7" s="474"/>
      <c r="K7" s="347"/>
      <c r="L7" s="211"/>
      <c r="M7" s="212"/>
    </row>
    <row r="8" spans="1:13" ht="15.5" thickTop="1" thickBot="1" x14ac:dyDescent="0.4">
      <c r="A8" s="208"/>
      <c r="B8" s="40"/>
      <c r="C8" s="40"/>
      <c r="D8" s="209"/>
      <c r="E8" s="210"/>
      <c r="F8" s="458" t="s">
        <v>48</v>
      </c>
      <c r="G8" s="459"/>
      <c r="H8" s="460"/>
      <c r="I8" s="461" t="s">
        <v>49</v>
      </c>
      <c r="J8" s="462"/>
      <c r="K8" s="463"/>
      <c r="L8" s="348" t="s">
        <v>23</v>
      </c>
      <c r="M8" s="212"/>
    </row>
    <row r="9" spans="1:13" ht="15" thickBot="1" x14ac:dyDescent="0.4">
      <c r="A9" s="464" t="s">
        <v>50</v>
      </c>
      <c r="B9" s="465"/>
      <c r="C9" s="466"/>
      <c r="D9" s="209"/>
      <c r="E9" s="210"/>
      <c r="F9" s="217" t="s">
        <v>51</v>
      </c>
      <c r="G9" s="218" t="s">
        <v>25</v>
      </c>
      <c r="H9" s="219">
        <v>-2</v>
      </c>
      <c r="I9" s="217" t="s">
        <v>51</v>
      </c>
      <c r="J9" s="218" t="s">
        <v>25</v>
      </c>
      <c r="K9" s="219">
        <f>IF(A7="District",-0.1,-0.2)</f>
        <v>-0.1</v>
      </c>
      <c r="L9" s="349" t="s">
        <v>26</v>
      </c>
      <c r="M9" s="212"/>
    </row>
    <row r="10" spans="1:13" ht="17.25" customHeight="1" thickTop="1" thickBot="1" x14ac:dyDescent="0.4">
      <c r="A10" s="398" t="s">
        <v>48</v>
      </c>
      <c r="B10" s="467"/>
      <c r="C10" s="468"/>
      <c r="D10" s="209"/>
      <c r="E10" s="210"/>
      <c r="F10" s="217" t="s">
        <v>51</v>
      </c>
      <c r="G10" s="218" t="s">
        <v>25</v>
      </c>
      <c r="H10" s="219">
        <v>-2</v>
      </c>
      <c r="I10" s="217">
        <f>IF(A7="District",-0.1,-0.2)</f>
        <v>-0.1</v>
      </c>
      <c r="J10" s="218" t="s">
        <v>25</v>
      </c>
      <c r="K10" s="219" t="s">
        <v>51</v>
      </c>
      <c r="L10" s="349" t="s">
        <v>29</v>
      </c>
      <c r="M10" s="212"/>
    </row>
    <row r="11" spans="1:13" ht="15.5" thickTop="1" thickBot="1" x14ac:dyDescent="0.4">
      <c r="A11" s="408" t="s">
        <v>49</v>
      </c>
      <c r="B11" s="467"/>
      <c r="C11" s="468"/>
      <c r="D11" s="209"/>
      <c r="E11" s="210"/>
      <c r="F11" s="217">
        <v>-2</v>
      </c>
      <c r="G11" s="218" t="s">
        <v>25</v>
      </c>
      <c r="H11" s="219">
        <v>2</v>
      </c>
      <c r="I11" s="217" t="s">
        <v>51</v>
      </c>
      <c r="J11" s="218" t="s">
        <v>25</v>
      </c>
      <c r="K11" s="219" t="s">
        <v>51</v>
      </c>
      <c r="L11" s="349" t="s">
        <v>31</v>
      </c>
      <c r="M11" s="212"/>
    </row>
    <row r="12" spans="1:13" x14ac:dyDescent="0.35">
      <c r="A12" s="208"/>
      <c r="B12" s="40"/>
      <c r="C12" s="40"/>
      <c r="D12" s="209"/>
      <c r="E12" s="210"/>
      <c r="F12" s="217">
        <v>2</v>
      </c>
      <c r="G12" s="218" t="s">
        <v>25</v>
      </c>
      <c r="H12" s="219" t="s">
        <v>51</v>
      </c>
      <c r="I12" s="217" t="s">
        <v>51</v>
      </c>
      <c r="J12" s="218" t="s">
        <v>25</v>
      </c>
      <c r="K12" s="219">
        <f>IF(A7="District", 0.1,0.2)</f>
        <v>0.1</v>
      </c>
      <c r="L12" s="349" t="s">
        <v>33</v>
      </c>
      <c r="M12" s="212"/>
    </row>
    <row r="13" spans="1:13" ht="15" thickBot="1" x14ac:dyDescent="0.4">
      <c r="A13" s="208"/>
      <c r="B13" s="40"/>
      <c r="C13" s="40"/>
      <c r="D13" s="209"/>
      <c r="E13" s="210"/>
      <c r="F13" s="220">
        <v>2</v>
      </c>
      <c r="G13" s="221" t="s">
        <v>25</v>
      </c>
      <c r="H13" s="222" t="s">
        <v>51</v>
      </c>
      <c r="I13" s="220">
        <f>IF(A7="District",0.1,0.2)</f>
        <v>0.1</v>
      </c>
      <c r="J13" s="221" t="s">
        <v>25</v>
      </c>
      <c r="K13" s="222" t="s">
        <v>51</v>
      </c>
      <c r="L13" s="350" t="s">
        <v>37</v>
      </c>
      <c r="M13" s="212"/>
    </row>
    <row r="14" spans="1:13" x14ac:dyDescent="0.35">
      <c r="A14" s="208"/>
      <c r="B14" s="40"/>
      <c r="C14" s="40"/>
      <c r="D14" s="209"/>
      <c r="E14" s="210"/>
      <c r="F14" s="211"/>
      <c r="G14" s="211"/>
      <c r="H14" s="211"/>
      <c r="I14" s="211"/>
      <c r="J14" s="211"/>
      <c r="K14" s="211"/>
      <c r="L14" s="211"/>
      <c r="M14" s="212"/>
    </row>
    <row r="15" spans="1:13" ht="15" thickBot="1" x14ac:dyDescent="0.4">
      <c r="A15" s="208"/>
      <c r="B15" s="40"/>
      <c r="C15" s="40"/>
      <c r="D15" s="209"/>
      <c r="E15" s="210"/>
      <c r="F15" s="211"/>
      <c r="G15" s="211"/>
      <c r="H15" s="211"/>
      <c r="I15" s="211"/>
      <c r="J15" s="211"/>
      <c r="K15" s="211"/>
      <c r="L15" s="211"/>
      <c r="M15" s="212"/>
    </row>
    <row r="16" spans="1:13" ht="15" customHeight="1" x14ac:dyDescent="0.35">
      <c r="A16" s="208"/>
      <c r="B16" s="40"/>
      <c r="C16" s="40"/>
      <c r="D16" s="209"/>
      <c r="E16" s="210"/>
      <c r="F16" s="450" t="s">
        <v>52</v>
      </c>
      <c r="G16" s="451"/>
      <c r="H16" s="451"/>
      <c r="I16" s="452"/>
      <c r="J16" s="450" t="str">
        <f>IF(AND(B10&lt;H9,B11&lt;K9),L9,IF(AND(B10&lt;H10,B11&gt;=I10),L10,IF(AND(B10&gt;=F11,B10&lt;H11),L11,IF(AND(B10&gt;=F12,B11&lt;K12),L12,IF(AND(B10&gt;=F13,B11&gt;=I13),L13,"Error")))))</f>
        <v>3 Stars</v>
      </c>
      <c r="K16" s="452"/>
      <c r="L16" s="218"/>
      <c r="M16" s="212"/>
    </row>
    <row r="17" spans="1:13" ht="15.75" customHeight="1" thickBot="1" x14ac:dyDescent="0.4">
      <c r="A17" s="208"/>
      <c r="B17" s="40"/>
      <c r="C17" s="40"/>
      <c r="D17" s="209"/>
      <c r="E17" s="210"/>
      <c r="F17" s="453"/>
      <c r="G17" s="454"/>
      <c r="H17" s="454"/>
      <c r="I17" s="455"/>
      <c r="J17" s="453"/>
      <c r="K17" s="455"/>
      <c r="L17" s="218"/>
      <c r="M17" s="212"/>
    </row>
    <row r="18" spans="1:13" x14ac:dyDescent="0.35">
      <c r="A18" s="351"/>
      <c r="B18" s="352"/>
      <c r="C18" s="352"/>
      <c r="D18" s="230"/>
      <c r="E18" s="231"/>
      <c r="F18" s="232"/>
      <c r="G18" s="232"/>
      <c r="H18" s="232"/>
      <c r="I18" s="232"/>
      <c r="J18" s="232"/>
      <c r="K18" s="232"/>
      <c r="L18" s="232"/>
      <c r="M18" s="233"/>
    </row>
    <row r="20" spans="1:13" x14ac:dyDescent="0.35">
      <c r="A20" s="423" t="s">
        <v>42</v>
      </c>
    </row>
    <row r="21" spans="1:13" x14ac:dyDescent="0.35">
      <c r="A21" s="172" t="s">
        <v>43</v>
      </c>
    </row>
  </sheetData>
  <sheetProtection sheet="1" objects="1" scenarios="1"/>
  <mergeCells count="11">
    <mergeCell ref="A4:D4"/>
    <mergeCell ref="B10:C10"/>
    <mergeCell ref="B11:C11"/>
    <mergeCell ref="E4:M4"/>
    <mergeCell ref="G7:H7"/>
    <mergeCell ref="I7:J7"/>
    <mergeCell ref="F16:I17"/>
    <mergeCell ref="F8:H8"/>
    <mergeCell ref="I8:K8"/>
    <mergeCell ref="J16:K17"/>
    <mergeCell ref="A9:C9"/>
  </mergeCells>
  <dataValidations count="3">
    <dataValidation type="list" allowBlank="1" showInputMessage="1" showErrorMessage="1" promptTitle="&lt;Select District or Building&gt;" prompt="Select so that the Effect Size can be adjusted accordingly." sqref="A7" xr:uid="{E72D5058-8B7D-4A47-8E86-57AAD98862B0}">
      <formula1>"District, Building"</formula1>
    </dataValidation>
    <dataValidation allowBlank="1" showInputMessage="1" showErrorMessage="1" promptTitle="&lt;Enter Growth Index&gt;" prompt="Enter this information from:_x000a_SDC- Value Added&gt;&gt;District(School) Value Added- Overall and subject composites&gt;&gt;Value Added Data&gt;&gt;Two most recent years of gains combined Gain Index Overall Composite Overall Subgroup" sqref="B10:C10" xr:uid="{9019CF5F-FA14-4C1C-A0DD-E6D5582813C2}"/>
    <dataValidation allowBlank="1" showInputMessage="1" showErrorMessage="1" promptTitle="&lt;Enter Effect Size&gt;" prompt="Enter this information from:_x000a_SDC- Value Added&gt;&gt;District(School) Value Added- Overall and subject composites&gt;&gt;Value Added Data&gt;&gt;Two most recent years of gains combined Effect Size Overall Composite Overall Subgroup" sqref="B11:C11" xr:uid="{0CED08CC-B5A7-4623-831F-96DC13CAEEB2}"/>
  </dataValidations>
  <hyperlinks>
    <hyperlink ref="A20" r:id="rId1" xr:uid="{F1A159F9-8E1B-41ED-BEC3-F80563676212}"/>
    <hyperlink ref="A21" r:id="rId2" xr:uid="{54EB5F38-F28F-4305-8BD4-ECC498AC3FAB}"/>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1012-C5FF-4EAE-9E8C-DDAFD8045829}">
  <dimension ref="A1:V77"/>
  <sheetViews>
    <sheetView tabSelected="1" zoomScaleNormal="100" workbookViewId="0">
      <selection activeCell="E3" sqref="E3"/>
    </sheetView>
  </sheetViews>
  <sheetFormatPr defaultColWidth="9.1796875" defaultRowHeight="14.5" x14ac:dyDescent="0.35"/>
  <cols>
    <col min="1" max="1" width="71.1796875" style="3" customWidth="1"/>
    <col min="2" max="2" width="11.1796875" style="3" bestFit="1" customWidth="1"/>
    <col min="3" max="3" width="30.1796875" style="3" bestFit="1" customWidth="1"/>
    <col min="4" max="4" width="17.1796875" style="3" bestFit="1" customWidth="1"/>
    <col min="5" max="5" width="13.7265625" style="3" bestFit="1" customWidth="1"/>
    <col min="6" max="6" width="14.54296875" style="3" bestFit="1" customWidth="1"/>
    <col min="7" max="7" width="9.1796875" style="2"/>
    <col min="8" max="8" width="16.54296875" style="174" bestFit="1" customWidth="1"/>
    <col min="9" max="9" width="24.26953125" style="2" bestFit="1" customWidth="1"/>
    <col min="10" max="10" width="11.7265625" style="2" customWidth="1"/>
    <col min="11" max="11" width="12.81640625" style="2" bestFit="1" customWidth="1"/>
    <col min="12" max="12" width="16.453125" style="2" bestFit="1" customWidth="1"/>
    <col min="13" max="15" width="9.1796875" style="2"/>
    <col min="16" max="17" width="9" style="2" customWidth="1"/>
    <col min="18" max="18" width="9.1796875" style="2"/>
    <col min="19" max="19" width="13.7265625" style="2" customWidth="1"/>
    <col min="20" max="16384" width="9.1796875" style="2"/>
  </cols>
  <sheetData>
    <row r="1" spans="1:20" x14ac:dyDescent="0.35">
      <c r="A1" s="1" t="s">
        <v>7</v>
      </c>
    </row>
    <row r="2" spans="1:20" ht="15" thickBot="1" x14ac:dyDescent="0.4">
      <c r="A2" s="2" t="s">
        <v>53</v>
      </c>
    </row>
    <row r="3" spans="1:20" ht="19.5" thickTop="1" thickBot="1" x14ac:dyDescent="0.5">
      <c r="A3" s="2" t="s">
        <v>54</v>
      </c>
      <c r="D3" s="282" t="s">
        <v>55</v>
      </c>
      <c r="E3" s="283" t="s">
        <v>273</v>
      </c>
      <c r="H3" s="284"/>
    </row>
    <row r="4" spans="1:20" ht="15" thickTop="1" x14ac:dyDescent="0.35"/>
    <row r="5" spans="1:20" ht="21.5" thickBot="1" x14ac:dyDescent="0.55000000000000004">
      <c r="A5" s="483" t="s">
        <v>56</v>
      </c>
      <c r="B5" s="484"/>
      <c r="C5" s="484"/>
      <c r="D5" s="285" t="s">
        <v>57</v>
      </c>
      <c r="E5" s="484" t="s">
        <v>58</v>
      </c>
      <c r="F5" s="485"/>
      <c r="G5" s="488" t="s">
        <v>59</v>
      </c>
      <c r="H5" s="489"/>
      <c r="I5" s="489"/>
      <c r="J5" s="489"/>
      <c r="K5" s="489"/>
      <c r="L5" s="489"/>
      <c r="M5" s="490"/>
      <c r="N5" s="469" t="s">
        <v>12</v>
      </c>
      <c r="O5" s="470"/>
      <c r="P5" s="470"/>
      <c r="Q5" s="470"/>
      <c r="R5" s="470"/>
      <c r="S5" s="470"/>
      <c r="T5" s="470"/>
    </row>
    <row r="6" spans="1:20" ht="15.5" thickTop="1" thickBot="1" x14ac:dyDescent="0.4">
      <c r="A6" s="286" t="s">
        <v>60</v>
      </c>
      <c r="B6" s="287" t="s">
        <v>61</v>
      </c>
      <c r="C6" s="287" t="s">
        <v>62</v>
      </c>
      <c r="D6" s="288" t="str">
        <f>E3</f>
        <v>2023-2024</v>
      </c>
      <c r="E6" s="289" t="s">
        <v>58</v>
      </c>
      <c r="F6" s="288" t="s">
        <v>63</v>
      </c>
      <c r="G6" s="290"/>
      <c r="H6" s="291"/>
      <c r="I6" s="292"/>
      <c r="J6" s="292"/>
      <c r="K6" s="292"/>
      <c r="L6" s="292"/>
      <c r="M6" s="293"/>
      <c r="N6" s="210"/>
      <c r="O6" s="211"/>
      <c r="P6" s="211"/>
      <c r="Q6" s="211"/>
      <c r="R6" s="211"/>
      <c r="S6" s="211"/>
      <c r="T6" s="211"/>
    </row>
    <row r="7" spans="1:20" ht="15.5" thickTop="1" thickBot="1" x14ac:dyDescent="0.4">
      <c r="A7" s="405" t="s">
        <v>64</v>
      </c>
      <c r="B7" s="294" t="s">
        <v>65</v>
      </c>
      <c r="C7" s="295"/>
      <c r="D7" s="296">
        <f>IF(E3="2021-2022",0.221,IF(E3="2022-2023",0.202,IF(E3="2023-2024",0.183,IF(E3="2024-2025",0.164,IF(E3="2025-2026",0.145,IF(E3="2026-2027",0.126,IF(E3="2027-2028",0.107,IF(E3="2028-2029",0.088,IF(E3="2029-2030",0.069, IF(E3="2030-2031",0.05,0))))))))))</f>
        <v>0.183</v>
      </c>
      <c r="E7" s="297">
        <f>IF(AND(E3="2021-2022"),0,IF(AND(E3&lt;&gt;"2021-2022",B7="Yes",C7&lt;=D7),5,IF(AND(E3&lt;&gt;"2021-2022",B7="Yes",C9&gt;=36.7%,D9&lt;=-1.1%),5,IF(AND(E3&lt;&gt;"2021-2022",B7="Yes",C9&lt;36.7%,D9&lt;=-(C9*3%)),5,0))))</f>
        <v>5</v>
      </c>
      <c r="F7" s="298">
        <f>IF(AND(E3="2021-2022"),0,IF(AND(E3&lt;&gt;"2021-2022",B7="Yes"),5,0))</f>
        <v>5</v>
      </c>
      <c r="G7" s="292"/>
      <c r="H7" s="291"/>
      <c r="I7" s="292"/>
      <c r="J7" s="292"/>
      <c r="K7" s="292"/>
      <c r="L7" s="292"/>
      <c r="M7" s="293"/>
      <c r="N7" s="210"/>
      <c r="O7" s="211"/>
      <c r="P7" s="211"/>
      <c r="Q7" s="211"/>
      <c r="R7" s="211"/>
      <c r="S7" s="211"/>
      <c r="T7" s="211"/>
    </row>
    <row r="8" spans="1:20" ht="15.5" thickTop="1" thickBot="1" x14ac:dyDescent="0.4">
      <c r="A8" s="405"/>
      <c r="B8" s="399"/>
      <c r="C8" s="299" t="s">
        <v>66</v>
      </c>
      <c r="D8" s="300" t="s">
        <v>67</v>
      </c>
      <c r="E8" s="491" t="str">
        <f>IF(E3="2021-2022", "*Report only for 21-22*","")</f>
        <v/>
      </c>
      <c r="F8" s="492"/>
      <c r="G8" s="292"/>
      <c r="H8" s="291"/>
      <c r="I8" s="292"/>
      <c r="J8" s="292"/>
      <c r="K8" s="292"/>
      <c r="L8" s="292"/>
      <c r="M8" s="293"/>
      <c r="N8" s="210"/>
      <c r="O8" s="211"/>
      <c r="P8" s="211"/>
      <c r="Q8" s="211"/>
      <c r="R8" s="211"/>
      <c r="S8" s="211"/>
      <c r="T8" s="211"/>
    </row>
    <row r="9" spans="1:20" ht="15.5" thickTop="1" thickBot="1" x14ac:dyDescent="0.4">
      <c r="A9" s="405"/>
      <c r="B9" s="399"/>
      <c r="C9" s="295"/>
      <c r="D9" s="301">
        <f>C7-C9</f>
        <v>0</v>
      </c>
      <c r="E9" s="493"/>
      <c r="F9" s="494"/>
      <c r="G9" s="292"/>
      <c r="H9" s="291"/>
      <c r="I9" s="292"/>
      <c r="J9" s="292"/>
      <c r="K9" s="292"/>
      <c r="L9" s="292"/>
      <c r="M9" s="293"/>
      <c r="N9" s="210"/>
      <c r="O9" s="211"/>
      <c r="P9" s="211"/>
      <c r="Q9" s="211"/>
      <c r="R9" s="211"/>
      <c r="S9" s="211"/>
      <c r="T9" s="211"/>
    </row>
    <row r="10" spans="1:20" ht="15.5" thickTop="1" thickBot="1" x14ac:dyDescent="0.4">
      <c r="A10" s="286" t="s">
        <v>68</v>
      </c>
      <c r="B10" s="287" t="s">
        <v>61</v>
      </c>
      <c r="C10" s="287" t="s">
        <v>69</v>
      </c>
      <c r="D10" s="288" t="str">
        <f>E3</f>
        <v>2023-2024</v>
      </c>
      <c r="E10" s="289" t="s">
        <v>58</v>
      </c>
      <c r="F10" s="288" t="s">
        <v>63</v>
      </c>
      <c r="G10" s="292"/>
      <c r="H10" s="291"/>
      <c r="I10" s="292"/>
      <c r="J10" s="292"/>
      <c r="K10" s="292"/>
      <c r="L10" s="292"/>
      <c r="M10" s="293"/>
      <c r="N10" s="210"/>
      <c r="O10" s="211"/>
      <c r="P10" s="211"/>
      <c r="Q10" s="211"/>
      <c r="R10" s="211"/>
      <c r="S10" s="211"/>
      <c r="T10" s="211"/>
    </row>
    <row r="11" spans="1:20" ht="15.5" thickTop="1" thickBot="1" x14ac:dyDescent="0.4">
      <c r="A11" s="405" t="s">
        <v>70</v>
      </c>
      <c r="B11" s="294" t="s">
        <v>65</v>
      </c>
      <c r="C11" s="303"/>
      <c r="D11" s="301">
        <f>IF(E3="2021-2022",0.95,IF(E3="2022-2023",0.965,IF(E3="2023-2024",0.975,IF(E3="2024-2025",0.975,IF(E3="2025-2026",0.975,IF(E3="2026-2027",0.975,IF(E3="2027-2028",0.975,IF(E3="2028-2029",0.975,IF(E3="2029-2030",0.975, IF(E3="2030-2031",0.975,0))))))))))</f>
        <v>0.97499999999999998</v>
      </c>
      <c r="E11" s="399">
        <f>IF(AND(B11="Yes",C11&gt;=D11),5,0)</f>
        <v>0</v>
      </c>
      <c r="F11" s="404">
        <f>IF(B11="Yes",5,0)</f>
        <v>5</v>
      </c>
      <c r="G11" s="292"/>
      <c r="H11" s="291"/>
      <c r="I11" s="292"/>
      <c r="J11" s="292"/>
      <c r="K11" s="292"/>
      <c r="L11" s="292"/>
      <c r="M11" s="293"/>
      <c r="N11" s="210"/>
      <c r="O11" s="211"/>
      <c r="P11" s="211"/>
      <c r="Q11" s="211"/>
      <c r="R11" s="211"/>
      <c r="S11" s="211"/>
      <c r="T11" s="211"/>
    </row>
    <row r="12" spans="1:20" ht="15.5" thickTop="1" thickBot="1" x14ac:dyDescent="0.4">
      <c r="A12" s="405"/>
      <c r="B12" s="399"/>
      <c r="C12" s="304" t="s">
        <v>71</v>
      </c>
      <c r="D12" s="404"/>
      <c r="E12" s="399"/>
      <c r="F12" s="404"/>
      <c r="G12" s="292"/>
      <c r="H12" s="291"/>
      <c r="I12" s="292"/>
      <c r="J12" s="292"/>
      <c r="K12" s="292"/>
      <c r="L12" s="292"/>
      <c r="M12" s="293"/>
      <c r="N12" s="210"/>
      <c r="O12" s="211"/>
      <c r="P12" s="211"/>
      <c r="Q12" s="211"/>
      <c r="R12" s="211"/>
      <c r="S12" s="211"/>
      <c r="T12" s="211"/>
    </row>
    <row r="13" spans="1:20" ht="15.5" thickTop="1" thickBot="1" x14ac:dyDescent="0.4">
      <c r="A13" s="405" t="s">
        <v>72</v>
      </c>
      <c r="B13" s="294" t="s">
        <v>65</v>
      </c>
      <c r="C13" s="429"/>
      <c r="D13" s="404" t="s">
        <v>73</v>
      </c>
      <c r="E13" s="399">
        <f>IF(AND(OR(C13="3 Stars",C13="4 Stars",C13="5 Stars"),B13="Yes"),5,0)</f>
        <v>0</v>
      </c>
      <c r="F13" s="404">
        <f>IF(B13="Yes",5,0)</f>
        <v>5</v>
      </c>
      <c r="G13" s="292"/>
      <c r="H13" s="291"/>
      <c r="I13" s="292"/>
      <c r="J13" s="292"/>
      <c r="K13" s="292"/>
      <c r="L13" s="292"/>
      <c r="M13" s="305"/>
      <c r="N13" s="210"/>
      <c r="O13" s="211"/>
      <c r="P13" s="211"/>
      <c r="Q13" s="211"/>
      <c r="R13" s="211"/>
      <c r="S13" s="211"/>
      <c r="T13" s="211"/>
    </row>
    <row r="14" spans="1:20" ht="15.5" thickTop="1" thickBot="1" x14ac:dyDescent="0.4">
      <c r="A14" s="405"/>
      <c r="B14" s="399"/>
      <c r="C14" s="304" t="s">
        <v>74</v>
      </c>
      <c r="D14" s="404"/>
      <c r="E14" s="399"/>
      <c r="F14" s="404"/>
      <c r="G14" s="292"/>
      <c r="H14" s="291"/>
      <c r="I14" s="292"/>
      <c r="J14" s="292"/>
      <c r="K14" s="292"/>
      <c r="L14" s="292"/>
      <c r="M14" s="293"/>
      <c r="N14" s="210"/>
      <c r="O14" s="211"/>
      <c r="P14" s="211"/>
      <c r="Q14" s="211"/>
      <c r="R14" s="211"/>
      <c r="S14" s="211"/>
      <c r="T14" s="211"/>
    </row>
    <row r="15" spans="1:20" ht="15.5" thickTop="1" thickBot="1" x14ac:dyDescent="0.4">
      <c r="A15" s="306" t="s">
        <v>75</v>
      </c>
      <c r="B15" s="294" t="s">
        <v>65</v>
      </c>
      <c r="C15" s="303"/>
      <c r="D15" s="307">
        <f>IF(E3="2021-2022",0.6,IF(E3="2022-2023",0.7,IF(E3="2023-2024",0.8,IF(E3="2024-2025",0.8,IF(E3="2025-2026",0.8,IF(E3="2026-2027",0.8,IF(E3="2027-2028",0.8,IF(E3="2028-2029",0.8,IF(E3="2029-2030",0.8, IF(E3="2030-2031",0.8,0))))))))))</f>
        <v>0.8</v>
      </c>
      <c r="E15" s="297">
        <f>IF(AND(C15&gt;=D15,B15="Yes"),5,0)</f>
        <v>0</v>
      </c>
      <c r="F15" s="298">
        <f>IF(B15="Yes",5,0)</f>
        <v>5</v>
      </c>
      <c r="G15" s="292"/>
      <c r="H15" s="291"/>
      <c r="I15" s="292"/>
      <c r="J15" s="292"/>
      <c r="K15" s="292"/>
      <c r="L15" s="292"/>
      <c r="M15" s="293"/>
      <c r="N15" s="210"/>
      <c r="O15" s="211"/>
      <c r="P15" s="211"/>
      <c r="Q15" s="211"/>
      <c r="R15" s="211"/>
      <c r="S15" s="211"/>
      <c r="T15" s="211"/>
    </row>
    <row r="16" spans="1:20" ht="15.5" thickTop="1" thickBot="1" x14ac:dyDescent="0.4">
      <c r="A16" s="286" t="s">
        <v>76</v>
      </c>
      <c r="B16" s="287" t="s">
        <v>61</v>
      </c>
      <c r="C16" s="287" t="s">
        <v>77</v>
      </c>
      <c r="D16" s="288" t="str">
        <f>E3</f>
        <v>2023-2024</v>
      </c>
      <c r="E16" s="289" t="s">
        <v>58</v>
      </c>
      <c r="F16" s="288" t="s">
        <v>63</v>
      </c>
      <c r="G16" s="292"/>
      <c r="H16" s="291"/>
      <c r="I16" s="292"/>
      <c r="J16" s="292"/>
      <c r="K16" s="292"/>
      <c r="L16" s="292"/>
      <c r="M16" s="293"/>
      <c r="N16" s="210"/>
      <c r="O16" s="211"/>
      <c r="P16" s="211"/>
      <c r="Q16" s="211"/>
      <c r="R16" s="211"/>
      <c r="S16" s="211"/>
      <c r="T16" s="211"/>
    </row>
    <row r="17" spans="1:20" ht="15.5" thickTop="1" thickBot="1" x14ac:dyDescent="0.4">
      <c r="A17" s="405" t="s">
        <v>78</v>
      </c>
      <c r="B17" s="294" t="s">
        <v>65</v>
      </c>
      <c r="C17" s="308"/>
      <c r="D17" s="296">
        <f>IF(E3="2021-2022",0.4305,IF(E3="2022-2023",0.466,IF(E3="2023-2024",0.5015,IF(E3="2024-2025",0.537,IF(E3="2025-2026",0.5725,IF(E3="2026-2027",0.608,IF(E3="2027-2028",0.6435,IF(E3="2028-2029",0.679,IF(E3="2029-2030",0.7145, IF(E3="2030-2031",0.75,0))))))))))</f>
        <v>0.50149999999999995</v>
      </c>
      <c r="E17" s="399">
        <f>IF(AND(B17="Yes",C17&gt;=D17),5,IF(AND(B17="YES",D19&lt;&gt;"Error",D19&gt;=10%),5,0))</f>
        <v>0</v>
      </c>
      <c r="F17" s="404">
        <f>IF(B17="Yes",5,0)</f>
        <v>5</v>
      </c>
      <c r="G17" s="292"/>
      <c r="H17" s="291"/>
      <c r="I17" s="292"/>
      <c r="J17" s="292"/>
      <c r="K17" s="292"/>
      <c r="L17" s="292"/>
      <c r="M17" s="293"/>
      <c r="N17" s="210"/>
      <c r="O17" s="211"/>
      <c r="P17" s="211"/>
      <c r="Q17" s="211"/>
      <c r="R17" s="211"/>
      <c r="S17" s="211"/>
      <c r="T17" s="211"/>
    </row>
    <row r="18" spans="1:20" ht="15.5" thickTop="1" thickBot="1" x14ac:dyDescent="0.4">
      <c r="A18" s="405"/>
      <c r="B18" s="309"/>
      <c r="C18" s="310" t="s">
        <v>79</v>
      </c>
      <c r="D18" s="311" t="s">
        <v>67</v>
      </c>
      <c r="E18" s="399"/>
      <c r="F18" s="404"/>
      <c r="G18" s="292"/>
      <c r="H18" s="291"/>
      <c r="I18" s="292"/>
      <c r="J18" s="292"/>
      <c r="K18" s="292"/>
      <c r="L18" s="292"/>
      <c r="M18" s="293"/>
      <c r="N18" s="210"/>
      <c r="O18" s="211"/>
      <c r="P18" s="211"/>
      <c r="Q18" s="211"/>
      <c r="R18" s="211"/>
      <c r="S18" s="211"/>
      <c r="T18" s="211"/>
    </row>
    <row r="19" spans="1:20" ht="15.5" thickTop="1" thickBot="1" x14ac:dyDescent="0.4">
      <c r="A19" s="306"/>
      <c r="B19" s="312"/>
      <c r="C19" s="308"/>
      <c r="D19" s="407" t="str">
        <f>IF(ISBLANK(C19),"Error",C17-C19)</f>
        <v>Error</v>
      </c>
      <c r="E19" s="297"/>
      <c r="F19" s="298"/>
      <c r="G19" s="292"/>
      <c r="H19" s="291"/>
      <c r="I19" s="292"/>
      <c r="J19" s="292"/>
      <c r="K19" s="292"/>
      <c r="L19" s="292"/>
      <c r="M19" s="293"/>
      <c r="N19" s="210"/>
      <c r="O19" s="211"/>
      <c r="P19" s="211"/>
      <c r="Q19" s="211"/>
      <c r="R19" s="211"/>
      <c r="S19" s="211"/>
      <c r="T19" s="211"/>
    </row>
    <row r="20" spans="1:20" ht="15.5" thickTop="1" thickBot="1" x14ac:dyDescent="0.4">
      <c r="A20" s="313" t="s">
        <v>80</v>
      </c>
      <c r="B20" s="313" t="s">
        <v>61</v>
      </c>
      <c r="C20" s="314" t="s">
        <v>11</v>
      </c>
      <c r="D20" s="315" t="str">
        <f>E3</f>
        <v>2023-2024</v>
      </c>
      <c r="E20" s="316" t="s">
        <v>58</v>
      </c>
      <c r="F20" s="317" t="s">
        <v>63</v>
      </c>
      <c r="G20" s="292"/>
      <c r="H20" s="291"/>
      <c r="I20" s="292"/>
      <c r="J20" s="292"/>
      <c r="K20" s="292"/>
      <c r="L20" s="292"/>
      <c r="M20" s="293"/>
      <c r="N20" s="210"/>
      <c r="O20" s="211"/>
      <c r="P20" s="211"/>
      <c r="Q20" s="211"/>
      <c r="R20" s="211"/>
      <c r="S20" s="211"/>
      <c r="T20" s="211"/>
    </row>
    <row r="21" spans="1:20" ht="15.5" thickTop="1" thickBot="1" x14ac:dyDescent="0.4">
      <c r="A21" s="405" t="s">
        <v>81</v>
      </c>
      <c r="B21" s="294" t="s">
        <v>65</v>
      </c>
      <c r="C21" s="426"/>
      <c r="D21" s="318">
        <f>IF(E3="2021-2022",78.56,IF(E3="2022-2023",80.94,IF(E3="2023-2024",83.33,IF(E3="2024-2025",85.71,IF(E3="2025-2026",88.09,IF(E3="2026-2027",90.47,IF(E3="2027-2028",92.85,IF(E3="2028-2029",95.24,IF(E3="2029-2030",97.62, IF(E3="2030-2031",100,0))))))))))</f>
        <v>83.33</v>
      </c>
      <c r="E21" s="405">
        <f>IF(AND(B21="Yes",C21&gt;=D21),1,0)</f>
        <v>0</v>
      </c>
      <c r="F21" s="404">
        <f>IF(B21="Yes",1,0)</f>
        <v>1</v>
      </c>
      <c r="G21" s="292"/>
      <c r="H21" s="291"/>
      <c r="I21" s="292"/>
      <c r="J21" s="292"/>
      <c r="K21" s="292"/>
      <c r="L21" s="292"/>
      <c r="M21" s="293"/>
      <c r="N21" s="210"/>
      <c r="O21" s="211"/>
      <c r="P21" s="486" t="s">
        <v>22</v>
      </c>
      <c r="Q21" s="487"/>
      <c r="R21" s="487"/>
      <c r="S21" s="319" t="s">
        <v>23</v>
      </c>
      <c r="T21" s="211"/>
    </row>
    <row r="22" spans="1:20" ht="15.5" thickTop="1" thickBot="1" x14ac:dyDescent="0.4">
      <c r="A22" s="405" t="s">
        <v>82</v>
      </c>
      <c r="B22" s="294" t="s">
        <v>65</v>
      </c>
      <c r="C22" s="426"/>
      <c r="D22" s="318">
        <f>IF(E3="2021-2022",69.67,IF(E3="2022-2023",71.26,IF(E3="2023-2024",72.86,IF(E3="2024-2025",74.46,IF(E3="2025-2026",76.05,IF(E3="2026-2027",77.65,IF(E3="2027-2028",79.24,IF(E3="2028-2029",80.84,IF(E3="2029-2030",82.44, IF(E3="2030-2031",84.03,0))))))))))</f>
        <v>72.86</v>
      </c>
      <c r="E22" s="405">
        <f t="shared" ref="E22:E30" si="0">IF(AND(B22="Yes",C22&gt;=D22),1,0)</f>
        <v>0</v>
      </c>
      <c r="F22" s="404">
        <f t="shared" ref="F22:F30" si="1">IF(B22="Yes",1,0)</f>
        <v>1</v>
      </c>
      <c r="G22" s="292"/>
      <c r="H22" s="291"/>
      <c r="I22" s="292"/>
      <c r="J22" s="292"/>
      <c r="K22" s="292"/>
      <c r="L22" s="292"/>
      <c r="M22" s="293"/>
      <c r="N22" s="210"/>
      <c r="O22" s="211"/>
      <c r="P22" s="257">
        <v>0</v>
      </c>
      <c r="Q22" s="218" t="s">
        <v>25</v>
      </c>
      <c r="R22" s="320">
        <v>0.1</v>
      </c>
      <c r="S22" s="258" t="s">
        <v>26</v>
      </c>
      <c r="T22" s="211"/>
    </row>
    <row r="23" spans="1:20" ht="15.5" thickTop="1" thickBot="1" x14ac:dyDescent="0.4">
      <c r="A23" s="405" t="s">
        <v>83</v>
      </c>
      <c r="B23" s="294" t="s">
        <v>65</v>
      </c>
      <c r="C23" s="426"/>
      <c r="D23" s="318">
        <f>IF(E3="2021-2022",86.89,IF(E3="2022-2023",87.58,IF(E3="2023-2024",88.27,IF(E3="2024-2025",88.96,IF(E3="2025-2026",89.65,IF(E3="2026-2027",90.34,IF(E3="2027-2028",91.03,IF(E3="2028-2029",91.72,IF(E3="2029-2030",92.41, IF(E3="2030-2031",93.1,0))))))))))</f>
        <v>88.27</v>
      </c>
      <c r="E23" s="405">
        <f t="shared" si="0"/>
        <v>0</v>
      </c>
      <c r="F23" s="404">
        <f t="shared" si="1"/>
        <v>1</v>
      </c>
      <c r="G23" s="292"/>
      <c r="H23" s="291"/>
      <c r="I23" s="292"/>
      <c r="J23" s="292"/>
      <c r="K23" s="292"/>
      <c r="L23" s="292"/>
      <c r="M23" s="293"/>
      <c r="N23" s="210"/>
      <c r="O23" s="211"/>
      <c r="P23" s="321">
        <v>0.1</v>
      </c>
      <c r="Q23" s="218" t="s">
        <v>25</v>
      </c>
      <c r="R23" s="320">
        <v>0.3</v>
      </c>
      <c r="S23" s="258" t="s">
        <v>29</v>
      </c>
      <c r="T23" s="211"/>
    </row>
    <row r="24" spans="1:20" ht="15.5" thickTop="1" thickBot="1" x14ac:dyDescent="0.4">
      <c r="A24" s="405" t="s">
        <v>84</v>
      </c>
      <c r="B24" s="294" t="s">
        <v>65</v>
      </c>
      <c r="C24" s="426"/>
      <c r="D24" s="318">
        <f>IF(E3="2021-2022",54.79,IF(E3="2022-2023",57.17,IF(E3="2023-2024",59.55,IF(E3="2024-2025",61.93,IF(E3="2025-2026",64.31,IF(E3="2026-2027",66.69,IF(E3="2027-2028",69.07,IF(E3="2028-2029",71.45,IF(E3="2029-2030",73.83, IF(E3="2030-2031",76.21,0))))))))))</f>
        <v>59.55</v>
      </c>
      <c r="E24" s="405">
        <f t="shared" si="0"/>
        <v>0</v>
      </c>
      <c r="F24" s="404">
        <f t="shared" si="1"/>
        <v>1</v>
      </c>
      <c r="G24" s="292"/>
      <c r="H24" s="291"/>
      <c r="I24" s="292"/>
      <c r="J24" s="292"/>
      <c r="K24" s="292"/>
      <c r="L24" s="292"/>
      <c r="M24" s="293"/>
      <c r="N24" s="210"/>
      <c r="O24" s="211"/>
      <c r="P24" s="321">
        <v>0.3</v>
      </c>
      <c r="Q24" s="218" t="s">
        <v>25</v>
      </c>
      <c r="R24" s="320">
        <v>0.45</v>
      </c>
      <c r="S24" s="258" t="s">
        <v>31</v>
      </c>
      <c r="T24" s="211"/>
    </row>
    <row r="25" spans="1:20" ht="15.5" thickTop="1" thickBot="1" x14ac:dyDescent="0.4">
      <c r="A25" s="405" t="s">
        <v>85</v>
      </c>
      <c r="B25" s="294" t="s">
        <v>65</v>
      </c>
      <c r="C25" s="426"/>
      <c r="D25" s="318">
        <f>IF(E3="2021-2022",66.28,IF(E3="2022-2023",68.05,IF(E3="2023-2024",69.83,IF(E3="2024-2025",71.6,IF(E3="2025-2026",73.83,IF(E3="2026-2027",75.15,IF(E3="2027-2028",76.93,IF(E3="2028-2029",78.7,IF(E3="2029-2030",80.48, IF(E3="2030-2031",82.25,0))))))))))</f>
        <v>69.83</v>
      </c>
      <c r="E25" s="405">
        <f t="shared" si="0"/>
        <v>0</v>
      </c>
      <c r="F25" s="404">
        <f t="shared" si="1"/>
        <v>1</v>
      </c>
      <c r="G25" s="292"/>
      <c r="H25" s="291"/>
      <c r="I25" s="292"/>
      <c r="J25" s="292"/>
      <c r="K25" s="292"/>
      <c r="L25" s="292"/>
      <c r="M25" s="293"/>
      <c r="N25" s="210"/>
      <c r="O25" s="211"/>
      <c r="P25" s="321">
        <v>0.45</v>
      </c>
      <c r="Q25" s="218" t="s">
        <v>25</v>
      </c>
      <c r="R25" s="320">
        <v>0.6</v>
      </c>
      <c r="S25" s="258" t="s">
        <v>33</v>
      </c>
      <c r="T25" s="211"/>
    </row>
    <row r="26" spans="1:20" ht="15.5" thickTop="1" thickBot="1" x14ac:dyDescent="0.4">
      <c r="A26" s="405" t="s">
        <v>86</v>
      </c>
      <c r="B26" s="294" t="s">
        <v>65</v>
      </c>
      <c r="C26" s="426"/>
      <c r="D26" s="318">
        <f>IF(E3="2021-2022",71.64,IF(E3="2022-2023",73.14,IF(E3="2023-2024",74.63,IF(E3="2024-2025",76.12,IF(E3="2025-2026",77.61,IF(E3="2026-2027",79.11,IF(E3="2027-2028",80.6,IF(E3="2028-2029",82.09,IF(E3="2029-2030",83.58, IF(E3="2030-2031",85.08,0))))))))))</f>
        <v>74.63</v>
      </c>
      <c r="E26" s="405">
        <f t="shared" si="0"/>
        <v>0</v>
      </c>
      <c r="F26" s="404">
        <f t="shared" si="1"/>
        <v>1</v>
      </c>
      <c r="G26" s="292"/>
      <c r="H26" s="291"/>
      <c r="I26" s="292"/>
      <c r="J26" s="292"/>
      <c r="K26" s="292"/>
      <c r="L26" s="292"/>
      <c r="M26" s="293"/>
      <c r="N26" s="210"/>
      <c r="O26" s="211"/>
      <c r="P26" s="322">
        <v>0.6</v>
      </c>
      <c r="Q26" s="261" t="s">
        <v>25</v>
      </c>
      <c r="R26" s="323">
        <v>1</v>
      </c>
      <c r="S26" s="262" t="s">
        <v>37</v>
      </c>
      <c r="T26" s="211"/>
    </row>
    <row r="27" spans="1:20" ht="15.5" thickTop="1" thickBot="1" x14ac:dyDescent="0.4">
      <c r="A27" s="405" t="s">
        <v>87</v>
      </c>
      <c r="B27" s="294" t="s">
        <v>65</v>
      </c>
      <c r="C27" s="426"/>
      <c r="D27" s="318">
        <f>IF(E3="2021-2022",84.26,IF(E3="2022-2023",85.09,IF(E3="2023-2024",85.92,IF(E3="2024-2025",86.74,IF(E3="2025-2026",87.57,IF(E3="2026-2027",88.4,IF(E3="2027-2028",89.23,IF(E3="2028-2029",90.06,IF(E3="2029-2030",90.89, IF(E3="2030-2031",91.72,0))))))))))</f>
        <v>85.92</v>
      </c>
      <c r="E27" s="405">
        <f t="shared" si="0"/>
        <v>0</v>
      </c>
      <c r="F27" s="404">
        <f t="shared" si="1"/>
        <v>1</v>
      </c>
      <c r="G27" s="292"/>
      <c r="H27" s="291"/>
      <c r="I27" s="292"/>
      <c r="J27" s="292"/>
      <c r="K27" s="292"/>
      <c r="L27" s="292"/>
      <c r="M27" s="293"/>
      <c r="N27" s="210"/>
      <c r="O27" s="211"/>
      <c r="P27" s="211"/>
      <c r="Q27" s="211"/>
      <c r="R27" s="211"/>
      <c r="S27" s="211"/>
      <c r="T27" s="211"/>
    </row>
    <row r="28" spans="1:20" ht="15.5" thickTop="1" thickBot="1" x14ac:dyDescent="0.4">
      <c r="A28" s="405" t="s">
        <v>88</v>
      </c>
      <c r="B28" s="294" t="s">
        <v>65</v>
      </c>
      <c r="C28" s="426"/>
      <c r="D28" s="318">
        <f>IF(E3="2021-2022",64.22,IF(E3="2022-2023",66.1,IF(E3="2023-2024",67.98,IF(E3="2024-2025",69.87,IF(E3="2025-2026",71.75,IF(E3="2026-2027",73.63,IF(E3="2027-2028",75.52,IF(E3="2028-2029",77.4,IF(E3="2029-2030",79.28, IF(E3="2030-2031",81.17,0))))))))))</f>
        <v>67.98</v>
      </c>
      <c r="E28" s="405">
        <f t="shared" si="0"/>
        <v>0</v>
      </c>
      <c r="F28" s="404">
        <f t="shared" si="1"/>
        <v>1</v>
      </c>
      <c r="G28" s="292"/>
      <c r="H28" s="291"/>
      <c r="I28" s="292"/>
      <c r="J28" s="292"/>
      <c r="K28" s="292"/>
      <c r="L28" s="292"/>
      <c r="M28" s="293"/>
      <c r="N28" s="210"/>
      <c r="O28" s="211"/>
      <c r="P28" s="211"/>
      <c r="Q28" s="211"/>
      <c r="R28" s="211"/>
      <c r="S28" s="211"/>
      <c r="T28" s="211"/>
    </row>
    <row r="29" spans="1:20" ht="15.5" thickTop="1" thickBot="1" x14ac:dyDescent="0.4">
      <c r="A29" s="405" t="s">
        <v>286</v>
      </c>
      <c r="B29" s="294" t="s">
        <v>65</v>
      </c>
      <c r="C29" s="426"/>
      <c r="D29" s="318">
        <f>IF(E3="2021-2022",50.64,IF(E3="2022-2023",53.24,IF(E3="2023-2024",55.84,IF(E3="2024-2025",58.43,IF(E3="2025-2026",61.03,IF(E3="2026-2027",63.63,IF(E3="2027-2028",66.23,IF(E3="2028-2029",68.83,IF(E3="2029-2030",71.42, IF(E3="2030-2031",74.02,0))))))))))</f>
        <v>55.84</v>
      </c>
      <c r="E29" s="405">
        <f t="shared" si="0"/>
        <v>0</v>
      </c>
      <c r="F29" s="404">
        <f t="shared" si="1"/>
        <v>1</v>
      </c>
      <c r="G29" s="292"/>
      <c r="H29" s="291"/>
      <c r="I29" s="292"/>
      <c r="J29" s="292"/>
      <c r="K29" s="292"/>
      <c r="L29" s="292"/>
      <c r="M29" s="293"/>
      <c r="N29" s="210"/>
      <c r="O29" s="211"/>
      <c r="P29" s="211"/>
      <c r="Q29" s="211"/>
      <c r="R29" s="211"/>
      <c r="S29" s="211"/>
      <c r="T29" s="211"/>
    </row>
    <row r="30" spans="1:20" ht="15.5" thickTop="1" thickBot="1" x14ac:dyDescent="0.4">
      <c r="A30" s="306" t="s">
        <v>287</v>
      </c>
      <c r="B30" s="294" t="s">
        <v>65</v>
      </c>
      <c r="C30" s="426"/>
      <c r="D30" s="406">
        <f>IF(E3="2021-2022",62.6,IF(E3="2022-2023",64.57,IF(E3="2023-2024",66.54,IF(E3="2024-2025",68.51,IF(E3="2025-2026",70.48,IF(E3="2026-2027",72.44,IF(E3="2027-2028",74.41,IF(E3="2028-2029",76.38,IF(E3="2029-2030",78.35, IF(E3="2030-2031",80.32,0))))))))))</f>
        <v>66.540000000000006</v>
      </c>
      <c r="E30" s="306">
        <f t="shared" si="0"/>
        <v>0</v>
      </c>
      <c r="F30" s="298">
        <f t="shared" si="1"/>
        <v>1</v>
      </c>
      <c r="G30" s="292"/>
      <c r="H30" s="291"/>
      <c r="I30" s="324" t="s">
        <v>89</v>
      </c>
      <c r="J30" s="325"/>
      <c r="K30" s="325" t="s">
        <v>90</v>
      </c>
      <c r="L30" s="326" t="s">
        <v>63</v>
      </c>
      <c r="M30" s="293"/>
      <c r="N30" s="210"/>
      <c r="O30" s="211"/>
      <c r="P30" s="211"/>
      <c r="Q30" s="211"/>
      <c r="R30" s="211"/>
      <c r="S30" s="211"/>
      <c r="T30" s="211"/>
    </row>
    <row r="31" spans="1:20" ht="15.5" thickTop="1" thickBot="1" x14ac:dyDescent="0.4">
      <c r="A31" s="286" t="s">
        <v>91</v>
      </c>
      <c r="B31" s="287" t="s">
        <v>61</v>
      </c>
      <c r="C31" s="287" t="s">
        <v>48</v>
      </c>
      <c r="D31" s="289" t="str">
        <f>E3</f>
        <v>2023-2024</v>
      </c>
      <c r="E31" s="286" t="s">
        <v>58</v>
      </c>
      <c r="F31" s="288" t="s">
        <v>63</v>
      </c>
      <c r="G31" s="292"/>
      <c r="H31" s="291"/>
      <c r="I31" s="327" t="s">
        <v>92</v>
      </c>
      <c r="J31" s="328"/>
      <c r="K31" s="329">
        <f>E7</f>
        <v>5</v>
      </c>
      <c r="L31" s="330">
        <f>F7</f>
        <v>5</v>
      </c>
      <c r="M31" s="293"/>
      <c r="N31" s="210"/>
      <c r="O31" s="211"/>
      <c r="P31" s="211"/>
      <c r="Q31" s="211"/>
      <c r="R31" s="211"/>
      <c r="S31" s="211"/>
      <c r="T31" s="211"/>
    </row>
    <row r="32" spans="1:20" ht="15.5" thickTop="1" thickBot="1" x14ac:dyDescent="0.4">
      <c r="A32" s="405" t="s">
        <v>93</v>
      </c>
      <c r="B32" s="294" t="s">
        <v>65</v>
      </c>
      <c r="C32" s="426"/>
      <c r="D32" s="318">
        <v>2</v>
      </c>
      <c r="E32" s="405">
        <f>IF(AND(B32="Yes",C32&gt;=D32),1,0)</f>
        <v>0</v>
      </c>
      <c r="F32" s="404">
        <f>IF(B32="Yes",1,0)</f>
        <v>1</v>
      </c>
      <c r="G32" s="292"/>
      <c r="H32" s="291"/>
      <c r="I32" s="327" t="s">
        <v>94</v>
      </c>
      <c r="J32" s="328"/>
      <c r="K32" s="329">
        <f>SUM(E11,E13,E15)</f>
        <v>0</v>
      </c>
      <c r="L32" s="330">
        <f>SUM(F11,F13,F15)</f>
        <v>15</v>
      </c>
      <c r="M32" s="293"/>
      <c r="N32" s="210"/>
      <c r="O32" s="211"/>
      <c r="P32" s="211"/>
      <c r="Q32" s="211"/>
      <c r="R32" s="211"/>
      <c r="S32" s="211"/>
      <c r="T32" s="211"/>
    </row>
    <row r="33" spans="1:22" ht="17.25" customHeight="1" thickTop="1" thickBot="1" x14ac:dyDescent="0.4">
      <c r="A33" s="405" t="s">
        <v>95</v>
      </c>
      <c r="B33" s="294" t="s">
        <v>65</v>
      </c>
      <c r="C33" s="426"/>
      <c r="D33" s="318">
        <v>2</v>
      </c>
      <c r="E33" s="405">
        <f t="shared" ref="E33:E41" si="2">IF(AND(B33="Yes",C33&gt;=D33),1,0)</f>
        <v>0</v>
      </c>
      <c r="F33" s="404">
        <f t="shared" ref="F33:F41" si="3">IF(B33="Yes",1,0)</f>
        <v>1</v>
      </c>
      <c r="G33" s="292"/>
      <c r="H33" s="291"/>
      <c r="I33" s="327" t="s">
        <v>96</v>
      </c>
      <c r="J33" s="328"/>
      <c r="K33" s="329">
        <f>SUM(E17)</f>
        <v>0</v>
      </c>
      <c r="L33" s="330">
        <f>SUM(F17)</f>
        <v>5</v>
      </c>
      <c r="M33" s="293"/>
      <c r="N33" s="210"/>
      <c r="O33" s="211"/>
      <c r="P33" s="213"/>
      <c r="Q33" s="213"/>
      <c r="R33" s="213"/>
      <c r="S33" s="213"/>
      <c r="T33" s="331"/>
    </row>
    <row r="34" spans="1:22" ht="15.5" thickTop="1" thickBot="1" x14ac:dyDescent="0.4">
      <c r="A34" s="405" t="s">
        <v>97</v>
      </c>
      <c r="B34" s="294" t="s">
        <v>65</v>
      </c>
      <c r="C34" s="426"/>
      <c r="D34" s="318">
        <v>2</v>
      </c>
      <c r="E34" s="405">
        <f t="shared" si="2"/>
        <v>0</v>
      </c>
      <c r="F34" s="404">
        <f t="shared" si="3"/>
        <v>1</v>
      </c>
      <c r="G34" s="292"/>
      <c r="H34" s="291"/>
      <c r="I34" s="332" t="s">
        <v>98</v>
      </c>
      <c r="J34" s="292"/>
      <c r="K34" s="291">
        <f>SUM(E21:E30)</f>
        <v>0</v>
      </c>
      <c r="L34" s="333">
        <f>SUM(F21:F30)</f>
        <v>10</v>
      </c>
      <c r="M34" s="293"/>
      <c r="N34" s="210"/>
      <c r="O34" s="211"/>
      <c r="P34" s="213"/>
      <c r="Q34" s="213"/>
      <c r="R34" s="213"/>
      <c r="S34" s="213"/>
      <c r="T34" s="331"/>
    </row>
    <row r="35" spans="1:22" ht="17.25" customHeight="1" thickTop="1" thickBot="1" x14ac:dyDescent="0.4">
      <c r="A35" s="405" t="s">
        <v>99</v>
      </c>
      <c r="B35" s="294" t="s">
        <v>65</v>
      </c>
      <c r="C35" s="426"/>
      <c r="D35" s="318">
        <v>2</v>
      </c>
      <c r="E35" s="405">
        <f t="shared" si="2"/>
        <v>0</v>
      </c>
      <c r="F35" s="404">
        <f t="shared" si="3"/>
        <v>1</v>
      </c>
      <c r="G35" s="292"/>
      <c r="H35" s="291"/>
      <c r="I35" s="327" t="s">
        <v>100</v>
      </c>
      <c r="J35" s="328"/>
      <c r="K35" s="329">
        <f>SUM(E32:E41)</f>
        <v>0</v>
      </c>
      <c r="L35" s="330">
        <f>SUM(F32:F41)</f>
        <v>10</v>
      </c>
      <c r="M35" s="293"/>
      <c r="N35" s="210"/>
      <c r="O35" s="495" t="s">
        <v>101</v>
      </c>
      <c r="P35" s="496"/>
      <c r="Q35" s="496"/>
      <c r="R35" s="496"/>
      <c r="S35" s="497"/>
      <c r="T35" s="218"/>
    </row>
    <row r="36" spans="1:22" ht="16.5" customHeight="1" thickTop="1" thickBot="1" x14ac:dyDescent="0.4">
      <c r="A36" s="405" t="s">
        <v>102</v>
      </c>
      <c r="B36" s="294" t="s">
        <v>65</v>
      </c>
      <c r="C36" s="426"/>
      <c r="D36" s="318">
        <v>2</v>
      </c>
      <c r="E36" s="405">
        <f t="shared" si="2"/>
        <v>0</v>
      </c>
      <c r="F36" s="404">
        <f t="shared" si="3"/>
        <v>1</v>
      </c>
      <c r="G36" s="292"/>
      <c r="H36" s="291"/>
      <c r="I36" s="332" t="s">
        <v>103</v>
      </c>
      <c r="J36" s="292"/>
      <c r="K36" s="291">
        <f>SUM(E43:E52)</f>
        <v>0</v>
      </c>
      <c r="L36" s="333">
        <f>SUM(F43:F52)</f>
        <v>10</v>
      </c>
      <c r="M36" s="293"/>
      <c r="N36" s="210"/>
      <c r="O36" s="501" t="s">
        <v>104</v>
      </c>
      <c r="P36" s="475"/>
      <c r="Q36" s="475" t="s">
        <v>105</v>
      </c>
      <c r="R36" s="475" t="s">
        <v>106</v>
      </c>
      <c r="S36" s="477"/>
      <c r="T36" s="218"/>
    </row>
    <row r="37" spans="1:22" ht="16.5" customHeight="1" thickTop="1" thickBot="1" x14ac:dyDescent="0.4">
      <c r="A37" s="405" t="s">
        <v>107</v>
      </c>
      <c r="B37" s="294" t="s">
        <v>65</v>
      </c>
      <c r="C37" s="426"/>
      <c r="D37" s="318">
        <v>2</v>
      </c>
      <c r="E37" s="405">
        <f t="shared" si="2"/>
        <v>0</v>
      </c>
      <c r="F37" s="404">
        <f t="shared" si="3"/>
        <v>1</v>
      </c>
      <c r="G37" s="292"/>
      <c r="H37" s="291"/>
      <c r="I37" s="327" t="s">
        <v>108</v>
      </c>
      <c r="J37" s="328"/>
      <c r="K37" s="329">
        <f>SUM(E54:E63)</f>
        <v>0</v>
      </c>
      <c r="L37" s="330">
        <f>SUM(F54:F63)</f>
        <v>10</v>
      </c>
      <c r="M37" s="293"/>
      <c r="N37" s="210"/>
      <c r="O37" s="502"/>
      <c r="P37" s="476"/>
      <c r="Q37" s="476"/>
      <c r="R37" s="476"/>
      <c r="S37" s="478"/>
      <c r="T37" s="211"/>
    </row>
    <row r="38" spans="1:22" ht="16.5" customHeight="1" thickTop="1" thickBot="1" x14ac:dyDescent="0.4">
      <c r="A38" s="405" t="s">
        <v>109</v>
      </c>
      <c r="B38" s="294" t="s">
        <v>65</v>
      </c>
      <c r="C38" s="426"/>
      <c r="D38" s="318">
        <v>2</v>
      </c>
      <c r="E38" s="405">
        <f t="shared" si="2"/>
        <v>0</v>
      </c>
      <c r="F38" s="404">
        <f t="shared" si="3"/>
        <v>1</v>
      </c>
      <c r="G38" s="292"/>
      <c r="H38" s="291"/>
      <c r="I38" s="332" t="s">
        <v>110</v>
      </c>
      <c r="J38" s="292"/>
      <c r="K38" s="291">
        <f>SUM(E65:E74)</f>
        <v>0</v>
      </c>
      <c r="L38" s="333">
        <f>SUM(F65:F74)</f>
        <v>10</v>
      </c>
      <c r="M38" s="293"/>
      <c r="N38" s="210"/>
      <c r="O38" s="498"/>
      <c r="P38" s="499"/>
      <c r="Q38" s="334">
        <v>0.95</v>
      </c>
      <c r="R38" s="500">
        <f>IF(O38&lt;Q38,((K39/L39) -(((K39)*(O38/Q38))/L39)),"No Demotion")</f>
        <v>6.6666666666666666E-2</v>
      </c>
      <c r="S38" s="500"/>
      <c r="T38" s="211"/>
      <c r="V38" s="335"/>
    </row>
    <row r="39" spans="1:22" ht="15.5" thickTop="1" thickBot="1" x14ac:dyDescent="0.4">
      <c r="A39" s="405" t="s">
        <v>111</v>
      </c>
      <c r="B39" s="294" t="s">
        <v>65</v>
      </c>
      <c r="C39" s="426"/>
      <c r="D39" s="318">
        <v>2</v>
      </c>
      <c r="E39" s="405">
        <f t="shared" si="2"/>
        <v>0</v>
      </c>
      <c r="F39" s="404">
        <f t="shared" si="3"/>
        <v>1</v>
      </c>
      <c r="G39" s="292"/>
      <c r="H39" s="291"/>
      <c r="I39" s="336" t="s">
        <v>112</v>
      </c>
      <c r="J39" s="337"/>
      <c r="K39" s="337">
        <f>SUM(K31:K38)</f>
        <v>5</v>
      </c>
      <c r="L39" s="338">
        <f>SUM(L31:L38)</f>
        <v>75</v>
      </c>
      <c r="M39" s="293"/>
      <c r="N39" s="210"/>
      <c r="O39" s="339"/>
      <c r="P39" s="339"/>
      <c r="Q39" s="339"/>
      <c r="R39" s="339"/>
      <c r="S39" s="339"/>
      <c r="T39" s="211"/>
    </row>
    <row r="40" spans="1:22" ht="15.5" thickTop="1" thickBot="1" x14ac:dyDescent="0.4">
      <c r="A40" s="405" t="s">
        <v>288</v>
      </c>
      <c r="B40" s="294" t="s">
        <v>65</v>
      </c>
      <c r="C40" s="426"/>
      <c r="D40" s="318">
        <v>2</v>
      </c>
      <c r="E40" s="405">
        <f t="shared" si="2"/>
        <v>0</v>
      </c>
      <c r="F40" s="404">
        <f t="shared" si="3"/>
        <v>1</v>
      </c>
      <c r="G40" s="292"/>
      <c r="H40" s="291"/>
      <c r="I40" s="292"/>
      <c r="J40" s="292"/>
      <c r="K40" s="292"/>
      <c r="L40" s="292"/>
      <c r="M40" s="293"/>
      <c r="N40" s="210"/>
      <c r="O40" s="211"/>
      <c r="P40" s="211"/>
      <c r="Q40" s="211"/>
      <c r="R40" s="211"/>
      <c r="S40" s="211"/>
      <c r="T40" s="211"/>
    </row>
    <row r="41" spans="1:22" ht="15.5" thickTop="1" thickBot="1" x14ac:dyDescent="0.4">
      <c r="A41" s="306" t="s">
        <v>289</v>
      </c>
      <c r="B41" s="294" t="s">
        <v>65</v>
      </c>
      <c r="C41" s="426"/>
      <c r="D41" s="406">
        <v>2</v>
      </c>
      <c r="E41" s="306">
        <f t="shared" si="2"/>
        <v>0</v>
      </c>
      <c r="F41" s="298">
        <f t="shared" si="3"/>
        <v>1</v>
      </c>
      <c r="G41" s="292"/>
      <c r="H41" s="291"/>
      <c r="I41" s="292"/>
      <c r="J41" s="292"/>
      <c r="K41" s="292"/>
      <c r="L41" s="292"/>
      <c r="M41" s="293"/>
      <c r="N41" s="210"/>
      <c r="O41" s="211"/>
      <c r="P41" s="211"/>
      <c r="Q41" s="211"/>
      <c r="R41" s="211"/>
      <c r="S41" s="211"/>
      <c r="T41" s="211"/>
    </row>
    <row r="42" spans="1:22" ht="15.5" thickTop="1" thickBot="1" x14ac:dyDescent="0.4">
      <c r="A42" s="286" t="s">
        <v>113</v>
      </c>
      <c r="B42" s="287" t="s">
        <v>61</v>
      </c>
      <c r="C42" s="287" t="s">
        <v>11</v>
      </c>
      <c r="D42" s="289" t="str">
        <f>E3</f>
        <v>2023-2024</v>
      </c>
      <c r="E42" s="286" t="s">
        <v>58</v>
      </c>
      <c r="F42" s="288" t="s">
        <v>63</v>
      </c>
      <c r="G42" s="292"/>
      <c r="H42" s="291"/>
      <c r="I42" s="292"/>
      <c r="J42" s="292"/>
      <c r="K42" s="292"/>
      <c r="L42" s="292"/>
      <c r="M42" s="293"/>
      <c r="N42" s="210"/>
      <c r="O42" s="211"/>
      <c r="P42" s="211"/>
      <c r="Q42" s="211"/>
      <c r="R42" s="211"/>
      <c r="S42" s="211"/>
      <c r="T42" s="211"/>
    </row>
    <row r="43" spans="1:22" ht="15.5" thickTop="1" thickBot="1" x14ac:dyDescent="0.4">
      <c r="A43" s="405" t="s">
        <v>114</v>
      </c>
      <c r="B43" s="294" t="s">
        <v>65</v>
      </c>
      <c r="C43" s="426"/>
      <c r="D43" s="318">
        <f>IF(E3="2021-2022",71.12,IF(E3="2022-2023",74.33,IF(E3="2023-2024",77.54,IF(E3="2024-2025",80.75,IF(E3="2025-2026",83.96,IF(E3="2026-2027",87.16,IF(E3="2027-2028",90.37,IF(E3="2028-2029",93.58,IF(E3="2029-2030",96.79, IF(E3="2030-2031",100,0))))))))))</f>
        <v>77.540000000000006</v>
      </c>
      <c r="E43" s="405">
        <f>IF(AND(B43="Yes",C43&gt;=D43),1,0)</f>
        <v>0</v>
      </c>
      <c r="F43" s="404">
        <f>IF(B43="Yes",1,0)</f>
        <v>1</v>
      </c>
      <c r="G43" s="292"/>
      <c r="H43" s="291"/>
      <c r="I43" s="292"/>
      <c r="J43" s="292"/>
      <c r="K43" s="292"/>
      <c r="L43" s="292"/>
      <c r="M43" s="293"/>
      <c r="N43" s="210"/>
      <c r="O43" s="211"/>
      <c r="P43" s="211"/>
      <c r="Q43" s="211"/>
      <c r="R43" s="211"/>
      <c r="S43" s="211"/>
      <c r="T43" s="211"/>
    </row>
    <row r="44" spans="1:22" ht="15.5" thickTop="1" thickBot="1" x14ac:dyDescent="0.4">
      <c r="A44" s="405" t="s">
        <v>115</v>
      </c>
      <c r="B44" s="294" t="s">
        <v>65</v>
      </c>
      <c r="C44" s="426"/>
      <c r="D44" s="318">
        <f>IF(E3="2021-2022",60.79,IF(E3="2022-2023",62.85,IF(E3="2023-2024",64.91,IF(E3="2024-2025",66.98,IF(E3="2025-2026",69.04,IF(E3="2026-2027",71.11,IF(E3="2027-2028",73.17,IF(E3="2028-2029",75.23,IF(E3="2029-2030",77.3, IF(E3="2030-2031",79.36,0))))))))))</f>
        <v>64.91</v>
      </c>
      <c r="E44" s="405">
        <f t="shared" ref="E44:E52" si="4">IF(AND(B44="Yes",C44&gt;=D44),1,0)</f>
        <v>0</v>
      </c>
      <c r="F44" s="404">
        <f t="shared" ref="F44:F52" si="5">IF(B44="Yes",1,0)</f>
        <v>1</v>
      </c>
      <c r="G44" s="292"/>
      <c r="H44" s="291"/>
      <c r="I44" s="292"/>
      <c r="J44" s="292"/>
      <c r="K44" s="292"/>
      <c r="L44" s="292"/>
      <c r="M44" s="293"/>
      <c r="N44" s="210"/>
      <c r="O44" s="211"/>
      <c r="P44" s="211"/>
      <c r="Q44" s="211"/>
      <c r="R44" s="211"/>
      <c r="S44" s="211"/>
      <c r="T44" s="211"/>
    </row>
    <row r="45" spans="1:22" ht="15.5" thickTop="1" thickBot="1" x14ac:dyDescent="0.4">
      <c r="A45" s="405" t="s">
        <v>116</v>
      </c>
      <c r="B45" s="294" t="s">
        <v>65</v>
      </c>
      <c r="C45" s="426"/>
      <c r="D45" s="318">
        <f>IF(E3="2021-2022",83.93,IF(E3="2022-2023",84.78,IF(E3="2023-2024",85.62,IF(E3="2024-2025",86.47,IF(E3="2025-2026",87.32,IF(E3="2026-2027",88.16,IF(E3="2027-2028",89.01,IF(E3="2028-2029",89.85,IF(E3="2029-2030",90.7, IF(E3="2030-2031",91.54,0))))))))))</f>
        <v>85.62</v>
      </c>
      <c r="E45" s="405">
        <f t="shared" si="4"/>
        <v>0</v>
      </c>
      <c r="F45" s="404">
        <f t="shared" si="5"/>
        <v>1</v>
      </c>
      <c r="G45" s="292"/>
      <c r="H45" s="291"/>
      <c r="I45" s="292"/>
      <c r="J45" s="292"/>
      <c r="K45" s="292"/>
      <c r="L45" s="292"/>
      <c r="M45" s="293"/>
      <c r="N45" s="210"/>
      <c r="O45" s="211"/>
      <c r="P45" s="211"/>
      <c r="Q45" s="211"/>
      <c r="R45" s="211"/>
      <c r="S45" s="211"/>
      <c r="T45" s="211"/>
    </row>
    <row r="46" spans="1:22" ht="15.5" thickTop="1" thickBot="1" x14ac:dyDescent="0.4">
      <c r="A46" s="405" t="s">
        <v>117</v>
      </c>
      <c r="B46" s="294" t="s">
        <v>65</v>
      </c>
      <c r="C46" s="426"/>
      <c r="D46" s="318">
        <f>IF(E3="2021-2022",44.09,IF(E3="2022-2023",47.03,IF(E3="2023-2024",49.97,IF(E3="2024-2025",52.92,IF(E3="2025-2026",55.86,IF(E3="2026-2027",58.8,IF(E3="2027-2028",61.74,IF(E3="2028-2029",64.69,IF(E3="2029-2030",67.63, IF(E3="2030-2031",70.57,0))))))))))</f>
        <v>49.97</v>
      </c>
      <c r="E46" s="405">
        <f t="shared" si="4"/>
        <v>0</v>
      </c>
      <c r="F46" s="404">
        <f t="shared" si="5"/>
        <v>1</v>
      </c>
      <c r="G46" s="292"/>
      <c r="H46" s="291"/>
      <c r="I46" s="292"/>
      <c r="J46" s="292"/>
      <c r="K46" s="292"/>
      <c r="L46" s="292"/>
      <c r="M46" s="293"/>
      <c r="N46" s="210"/>
      <c r="O46" s="211"/>
      <c r="P46" s="211"/>
      <c r="Q46" s="211"/>
      <c r="R46" s="211"/>
      <c r="S46" s="211"/>
      <c r="T46" s="211"/>
    </row>
    <row r="47" spans="1:22" ht="16.5" customHeight="1" thickTop="1" thickBot="1" x14ac:dyDescent="0.4">
      <c r="A47" s="405" t="s">
        <v>118</v>
      </c>
      <c r="B47" s="294" t="s">
        <v>65</v>
      </c>
      <c r="C47" s="426"/>
      <c r="D47" s="318">
        <f>IF(E3="2021-2022",57.7,IF(E3="2022-2023",59.93,IF(E3="2023-2024",62.15,IF(E3="2024-2025",64.38,IF(E3="2025-2026",66.61,IF(E3="2026-2027",68.83,IF(E3="2027-2028",71.06,IF(E3="2028-2029",73.29,IF(E3="2029-2030",75.51, IF(E3="2030-2031",77.74,0))))))))))</f>
        <v>62.15</v>
      </c>
      <c r="E47" s="405">
        <f t="shared" si="4"/>
        <v>0</v>
      </c>
      <c r="F47" s="404">
        <f t="shared" si="5"/>
        <v>1</v>
      </c>
      <c r="G47" s="292"/>
      <c r="H47" s="291"/>
      <c r="I47" s="292"/>
      <c r="J47" s="292"/>
      <c r="K47" s="292"/>
      <c r="L47" s="292"/>
      <c r="M47" s="293"/>
      <c r="N47" s="210"/>
      <c r="O47" s="479" t="s">
        <v>119</v>
      </c>
      <c r="P47" s="480"/>
      <c r="Q47" s="480"/>
      <c r="R47" s="480"/>
      <c r="S47" s="340">
        <f>IF(R38="No Demotion",K39/L39,(O38/Q38)*(K39/L39))</f>
        <v>0</v>
      </c>
      <c r="T47" s="211"/>
    </row>
    <row r="48" spans="1:22" ht="16.5" customHeight="1" thickTop="1" thickBot="1" x14ac:dyDescent="0.4">
      <c r="A48" s="405" t="s">
        <v>120</v>
      </c>
      <c r="B48" s="294" t="s">
        <v>65</v>
      </c>
      <c r="C48" s="426"/>
      <c r="D48" s="318">
        <f>IF(E3="2021-2022",61.72,IF(E3="2022-2023",63.73,IF(E3="2023-2024",65.75,IF(E3="2024-2025",67.76,IF(E3="2025-2026",69.78,IF(E3="2026-2027",71.79,IF(E3="2027-2028",73.81,IF(E3="2028-2029",75.82,IF(E3="2029-2030",77.84, IF(E3="2030-2031",79.85,0))))))))))</f>
        <v>65.75</v>
      </c>
      <c r="E48" s="405">
        <f t="shared" si="4"/>
        <v>0</v>
      </c>
      <c r="F48" s="404">
        <f t="shared" si="5"/>
        <v>1</v>
      </c>
      <c r="G48" s="292"/>
      <c r="H48" s="291"/>
      <c r="I48" s="292"/>
      <c r="J48" s="292"/>
      <c r="K48" s="292"/>
      <c r="L48" s="292"/>
      <c r="M48" s="293"/>
      <c r="N48" s="210"/>
      <c r="O48" s="481" t="s">
        <v>121</v>
      </c>
      <c r="P48" s="482"/>
      <c r="Q48" s="482"/>
      <c r="R48" s="482"/>
      <c r="S48" s="341" t="str">
        <f>IF(S47&gt;=P26,"5 Stars",IF(AND(S47&gt;=P25,S47&lt;R25),"4 Stars",IF(AND(S47&gt;=P24,S47&lt;R24),"3 Stars",IF(AND(S47&gt;=P23,S47&lt;R23),"2 Stars",IF(S47&lt;R22,"1 Star","Error")))))</f>
        <v>1 Star</v>
      </c>
      <c r="T48" s="211"/>
    </row>
    <row r="49" spans="1:20" ht="16.5" customHeight="1" thickTop="1" thickBot="1" x14ac:dyDescent="0.4">
      <c r="A49" s="405" t="s">
        <v>122</v>
      </c>
      <c r="B49" s="294" t="s">
        <v>65</v>
      </c>
      <c r="C49" s="426"/>
      <c r="D49" s="318">
        <f>IF(E3="2021-2022",77.23,IF(E3="2022-2023",78.43,IF(E3="2023-2024",79.63,IF(E3="2024-2025",80.83,IF(E3="2025-2026",82.03,IF(E3="2026-2027",83.22,IF(E3="2027-2028",84.42,IF(E3="2028-2029",85.62,IF(E3="2029-2030",86.82, IF(E3="2030-2031",88.02,0))))))))))</f>
        <v>79.63</v>
      </c>
      <c r="E49" s="405">
        <f t="shared" si="4"/>
        <v>0</v>
      </c>
      <c r="F49" s="404">
        <f t="shared" si="5"/>
        <v>1</v>
      </c>
      <c r="G49" s="292"/>
      <c r="H49" s="291"/>
      <c r="I49" s="292"/>
      <c r="J49" s="292"/>
      <c r="K49" s="292"/>
      <c r="L49" s="292"/>
      <c r="M49" s="293"/>
      <c r="N49" s="210"/>
      <c r="O49" s="211"/>
      <c r="P49" s="213"/>
      <c r="Q49" s="213"/>
      <c r="R49" s="213"/>
      <c r="S49" s="213"/>
      <c r="T49" s="211"/>
    </row>
    <row r="50" spans="1:20" ht="15.5" thickTop="1" thickBot="1" x14ac:dyDescent="0.4">
      <c r="A50" s="405" t="s">
        <v>123</v>
      </c>
      <c r="B50" s="294" t="s">
        <v>65</v>
      </c>
      <c r="C50" s="426"/>
      <c r="D50" s="318">
        <f>IF(E3="2021-2022",55.12,IF(E3="2022-2023",57.48,IF(E3="2023-2024",59.84,IF(E3="2024-2025",62.21,IF(E3="2025-2026",64.57,IF(E3="2026-2027",66.93,IF(E3="2027-2028",69.29,IF(E3="2028-2029",71.65,IF(E3="2029-2030",74.02, IF(E3="2030-2031",76.38,0))))))))))</f>
        <v>59.84</v>
      </c>
      <c r="E50" s="405">
        <f t="shared" si="4"/>
        <v>0</v>
      </c>
      <c r="F50" s="404">
        <f t="shared" si="5"/>
        <v>1</v>
      </c>
      <c r="G50" s="292"/>
      <c r="H50" s="291"/>
      <c r="I50" s="292"/>
      <c r="J50" s="292"/>
      <c r="K50" s="292"/>
      <c r="L50" s="292"/>
      <c r="M50" s="293"/>
      <c r="N50" s="210"/>
      <c r="O50" s="211"/>
      <c r="P50" s="213"/>
      <c r="Q50" s="213"/>
      <c r="R50" s="213"/>
      <c r="S50" s="213"/>
      <c r="T50" s="211"/>
    </row>
    <row r="51" spans="1:20" ht="15.5" thickTop="1" thickBot="1" x14ac:dyDescent="0.4">
      <c r="A51" s="405" t="s">
        <v>124</v>
      </c>
      <c r="B51" s="294" t="s">
        <v>65</v>
      </c>
      <c r="C51" s="426"/>
      <c r="D51" s="318">
        <f>IF(E3="2021-2022",45.52,IF(E3="2022-2023",48.39,IF(E3="2023-2024",51.26,IF(E3="2024-2025",54.12,IF(E3="2025-2026",56.99,IF(E3="2026-2027",59.86,IF(E3="2027-2028",62.73,IF(E3="2028-2029",65.59,IF(E3="2029-2030",68.46, IF(E3="2030-2031",71.33,0))))))))))</f>
        <v>51.26</v>
      </c>
      <c r="E51" s="405">
        <f t="shared" si="4"/>
        <v>0</v>
      </c>
      <c r="F51" s="404">
        <f t="shared" si="5"/>
        <v>1</v>
      </c>
      <c r="G51" s="292"/>
      <c r="H51" s="291"/>
      <c r="I51" s="292"/>
      <c r="J51" s="292"/>
      <c r="K51" s="292"/>
      <c r="L51" s="292"/>
      <c r="M51" s="293"/>
      <c r="N51" s="210"/>
      <c r="O51" s="211"/>
      <c r="P51" s="211"/>
      <c r="Q51" s="211"/>
      <c r="R51" s="211"/>
      <c r="S51" s="211"/>
      <c r="T51" s="211"/>
    </row>
    <row r="52" spans="1:20" ht="15.5" thickTop="1" thickBot="1" x14ac:dyDescent="0.4">
      <c r="A52" s="306" t="s">
        <v>290</v>
      </c>
      <c r="B52" s="294" t="s">
        <v>65</v>
      </c>
      <c r="C52" s="426"/>
      <c r="D52" s="406">
        <f>IF(E3="2021-2022",56.97,IF(E3="2022-2023",59.23,IF(E3="2023-2024",61.5,IF(E3="2024-2025",63.76,IF(E3="2025-2026",66.03,IF(E3="2026-2027",68.29,IF(E3="2027-2028",70.56,IF(E3="2028-2029",72.82,IF(E3="2029-2030",75.09, IF(E3="2030-2031",77.35,0))))))))))</f>
        <v>61.5</v>
      </c>
      <c r="E52" s="306">
        <f t="shared" si="4"/>
        <v>0</v>
      </c>
      <c r="F52" s="298">
        <f t="shared" si="5"/>
        <v>1</v>
      </c>
      <c r="G52" s="292"/>
      <c r="H52" s="291"/>
      <c r="I52" s="292"/>
      <c r="J52" s="292"/>
      <c r="K52" s="292"/>
      <c r="L52" s="292"/>
      <c r="M52" s="293"/>
      <c r="N52" s="210"/>
      <c r="O52" s="211"/>
      <c r="P52" s="211"/>
      <c r="Q52" s="211"/>
      <c r="R52" s="211"/>
      <c r="S52" s="211"/>
      <c r="T52" s="211"/>
    </row>
    <row r="53" spans="1:20" ht="15.5" thickTop="1" thickBot="1" x14ac:dyDescent="0.4">
      <c r="A53" s="286" t="s">
        <v>125</v>
      </c>
      <c r="B53" s="287" t="s">
        <v>61</v>
      </c>
      <c r="C53" s="287" t="s">
        <v>48</v>
      </c>
      <c r="D53" s="289" t="str">
        <f>E3</f>
        <v>2023-2024</v>
      </c>
      <c r="E53" s="286" t="s">
        <v>58</v>
      </c>
      <c r="F53" s="288" t="s">
        <v>63</v>
      </c>
      <c r="G53" s="292"/>
      <c r="H53" s="291"/>
      <c r="I53" s="292"/>
      <c r="J53" s="292"/>
      <c r="K53" s="292"/>
      <c r="L53" s="292"/>
      <c r="M53" s="293"/>
      <c r="N53" s="210"/>
      <c r="O53" s="211"/>
      <c r="P53" s="211"/>
      <c r="Q53" s="211"/>
      <c r="R53" s="211"/>
      <c r="S53" s="211"/>
      <c r="T53" s="211"/>
    </row>
    <row r="54" spans="1:20" ht="15.5" thickTop="1" thickBot="1" x14ac:dyDescent="0.4">
      <c r="A54" s="405" t="s">
        <v>126</v>
      </c>
      <c r="B54" s="294" t="s">
        <v>65</v>
      </c>
      <c r="C54" s="426"/>
      <c r="D54" s="318">
        <v>2</v>
      </c>
      <c r="E54" s="405">
        <f>IF(AND(B54="Yes",C54&gt;=D54),1,0)</f>
        <v>0</v>
      </c>
      <c r="F54" s="404">
        <f>IF(B54="Yes",1,0)</f>
        <v>1</v>
      </c>
      <c r="G54" s="292"/>
      <c r="H54" s="291"/>
      <c r="I54" s="292"/>
      <c r="J54" s="292"/>
      <c r="K54" s="292"/>
      <c r="L54" s="292"/>
      <c r="M54" s="293"/>
      <c r="N54" s="210"/>
      <c r="O54" s="211"/>
      <c r="P54" s="211"/>
      <c r="Q54" s="211"/>
      <c r="R54" s="211"/>
      <c r="S54" s="211"/>
      <c r="T54" s="211"/>
    </row>
    <row r="55" spans="1:20" ht="15.5" thickTop="1" thickBot="1" x14ac:dyDescent="0.4">
      <c r="A55" s="405" t="s">
        <v>127</v>
      </c>
      <c r="B55" s="294" t="s">
        <v>65</v>
      </c>
      <c r="C55" s="426"/>
      <c r="D55" s="318">
        <v>2</v>
      </c>
      <c r="E55" s="405">
        <f t="shared" ref="E55:E63" si="6">IF(AND(B55="Yes",C55&gt;=D55),1,0)</f>
        <v>0</v>
      </c>
      <c r="F55" s="404">
        <f t="shared" ref="F55:F63" si="7">IF(B55="Yes",1,0)</f>
        <v>1</v>
      </c>
      <c r="G55" s="292"/>
      <c r="H55" s="291"/>
      <c r="I55" s="292"/>
      <c r="J55" s="292"/>
      <c r="K55" s="292"/>
      <c r="L55" s="292"/>
      <c r="M55" s="293"/>
      <c r="N55" s="210"/>
      <c r="O55" s="211"/>
      <c r="P55" s="211"/>
      <c r="Q55" s="211"/>
      <c r="R55" s="211"/>
      <c r="S55" s="211"/>
      <c r="T55" s="211"/>
    </row>
    <row r="56" spans="1:20" ht="15.5" thickTop="1" thickBot="1" x14ac:dyDescent="0.4">
      <c r="A56" s="405" t="s">
        <v>128</v>
      </c>
      <c r="B56" s="294" t="s">
        <v>65</v>
      </c>
      <c r="C56" s="426"/>
      <c r="D56" s="318">
        <v>2</v>
      </c>
      <c r="E56" s="405">
        <f t="shared" si="6"/>
        <v>0</v>
      </c>
      <c r="F56" s="404">
        <f t="shared" si="7"/>
        <v>1</v>
      </c>
      <c r="G56" s="292"/>
      <c r="H56" s="291"/>
      <c r="I56" s="292"/>
      <c r="J56" s="292"/>
      <c r="K56" s="292"/>
      <c r="L56" s="292"/>
      <c r="M56" s="293"/>
      <c r="N56" s="210"/>
      <c r="O56" s="211"/>
      <c r="P56" s="211"/>
      <c r="Q56" s="211"/>
      <c r="R56" s="211"/>
      <c r="S56" s="211"/>
      <c r="T56" s="211"/>
    </row>
    <row r="57" spans="1:20" ht="15.5" thickTop="1" thickBot="1" x14ac:dyDescent="0.4">
      <c r="A57" s="405" t="s">
        <v>129</v>
      </c>
      <c r="B57" s="294" t="s">
        <v>65</v>
      </c>
      <c r="C57" s="426"/>
      <c r="D57" s="318">
        <v>2</v>
      </c>
      <c r="E57" s="405">
        <f t="shared" si="6"/>
        <v>0</v>
      </c>
      <c r="F57" s="404">
        <f t="shared" si="7"/>
        <v>1</v>
      </c>
      <c r="G57" s="292"/>
      <c r="H57" s="291"/>
      <c r="I57" s="292"/>
      <c r="J57" s="292"/>
      <c r="K57" s="292"/>
      <c r="L57" s="292"/>
      <c r="M57" s="293"/>
      <c r="N57" s="210"/>
      <c r="O57" s="211"/>
      <c r="P57" s="211"/>
      <c r="Q57" s="211"/>
      <c r="R57" s="211"/>
      <c r="S57" s="211"/>
      <c r="T57" s="211"/>
    </row>
    <row r="58" spans="1:20" ht="15.5" thickTop="1" thickBot="1" x14ac:dyDescent="0.4">
      <c r="A58" s="405" t="s">
        <v>130</v>
      </c>
      <c r="B58" s="294" t="s">
        <v>65</v>
      </c>
      <c r="C58" s="426"/>
      <c r="D58" s="318">
        <v>2</v>
      </c>
      <c r="E58" s="405">
        <f t="shared" si="6"/>
        <v>0</v>
      </c>
      <c r="F58" s="404">
        <f t="shared" si="7"/>
        <v>1</v>
      </c>
      <c r="G58" s="292"/>
      <c r="H58" s="291"/>
      <c r="I58" s="292"/>
      <c r="J58" s="292"/>
      <c r="K58" s="292"/>
      <c r="L58" s="292"/>
      <c r="M58" s="293"/>
      <c r="N58" s="210"/>
      <c r="O58" s="211"/>
      <c r="P58" s="211"/>
      <c r="Q58" s="211"/>
      <c r="R58" s="211"/>
      <c r="S58" s="211"/>
      <c r="T58" s="211"/>
    </row>
    <row r="59" spans="1:20" ht="15.5" thickTop="1" thickBot="1" x14ac:dyDescent="0.4">
      <c r="A59" s="405" t="s">
        <v>131</v>
      </c>
      <c r="B59" s="294" t="s">
        <v>65</v>
      </c>
      <c r="C59" s="426"/>
      <c r="D59" s="318">
        <v>2</v>
      </c>
      <c r="E59" s="405">
        <f t="shared" si="6"/>
        <v>0</v>
      </c>
      <c r="F59" s="404">
        <f t="shared" si="7"/>
        <v>1</v>
      </c>
      <c r="G59" s="292"/>
      <c r="H59" s="291"/>
      <c r="I59" s="292"/>
      <c r="J59" s="292"/>
      <c r="K59" s="292"/>
      <c r="L59" s="292"/>
      <c r="M59" s="293"/>
      <c r="N59" s="210"/>
      <c r="O59" s="211"/>
      <c r="P59" s="211"/>
      <c r="Q59" s="211"/>
      <c r="R59" s="211"/>
      <c r="S59" s="211"/>
      <c r="T59" s="211"/>
    </row>
    <row r="60" spans="1:20" ht="15.5" thickTop="1" thickBot="1" x14ac:dyDescent="0.4">
      <c r="A60" s="405" t="s">
        <v>132</v>
      </c>
      <c r="B60" s="294" t="s">
        <v>65</v>
      </c>
      <c r="C60" s="426"/>
      <c r="D60" s="318">
        <v>2</v>
      </c>
      <c r="E60" s="405">
        <f t="shared" si="6"/>
        <v>0</v>
      </c>
      <c r="F60" s="404">
        <f t="shared" si="7"/>
        <v>1</v>
      </c>
      <c r="G60" s="292"/>
      <c r="H60" s="291"/>
      <c r="I60" s="292"/>
      <c r="J60" s="292"/>
      <c r="K60" s="292"/>
      <c r="L60" s="292"/>
      <c r="M60" s="293"/>
      <c r="N60" s="210"/>
      <c r="O60" s="211"/>
      <c r="P60" s="211"/>
      <c r="Q60" s="211"/>
      <c r="R60" s="211"/>
      <c r="S60" s="211"/>
      <c r="T60" s="211"/>
    </row>
    <row r="61" spans="1:20" ht="15.5" thickTop="1" thickBot="1" x14ac:dyDescent="0.4">
      <c r="A61" s="405" t="s">
        <v>133</v>
      </c>
      <c r="B61" s="294" t="s">
        <v>65</v>
      </c>
      <c r="C61" s="426"/>
      <c r="D61" s="318">
        <v>2</v>
      </c>
      <c r="E61" s="405">
        <f t="shared" si="6"/>
        <v>0</v>
      </c>
      <c r="F61" s="404">
        <f t="shared" si="7"/>
        <v>1</v>
      </c>
      <c r="G61" s="292"/>
      <c r="H61" s="291"/>
      <c r="I61" s="292"/>
      <c r="J61" s="292"/>
      <c r="K61" s="292"/>
      <c r="L61" s="292"/>
      <c r="M61" s="293"/>
      <c r="N61" s="210"/>
      <c r="O61" s="211"/>
      <c r="P61" s="211"/>
      <c r="Q61" s="211"/>
      <c r="R61" s="211"/>
      <c r="S61" s="211"/>
      <c r="T61" s="211"/>
    </row>
    <row r="62" spans="1:20" ht="15.5" thickTop="1" thickBot="1" x14ac:dyDescent="0.4">
      <c r="A62" s="405" t="s">
        <v>135</v>
      </c>
      <c r="B62" s="294" t="s">
        <v>65</v>
      </c>
      <c r="C62" s="426"/>
      <c r="D62" s="318">
        <v>2</v>
      </c>
      <c r="E62" s="405">
        <f t="shared" si="6"/>
        <v>0</v>
      </c>
      <c r="F62" s="404">
        <f t="shared" si="7"/>
        <v>1</v>
      </c>
      <c r="G62" s="292"/>
      <c r="H62" s="291"/>
      <c r="I62" s="292"/>
      <c r="J62" s="292"/>
      <c r="K62" s="292"/>
      <c r="L62" s="292"/>
      <c r="M62" s="293"/>
      <c r="N62" s="210"/>
      <c r="O62" s="211"/>
      <c r="P62" s="211"/>
      <c r="Q62" s="211"/>
      <c r="R62" s="211"/>
      <c r="S62" s="211"/>
      <c r="T62" s="211"/>
    </row>
    <row r="63" spans="1:20" ht="15.5" thickTop="1" thickBot="1" x14ac:dyDescent="0.4">
      <c r="A63" s="306" t="s">
        <v>134</v>
      </c>
      <c r="B63" s="294" t="s">
        <v>65</v>
      </c>
      <c r="C63" s="426"/>
      <c r="D63" s="406">
        <v>2</v>
      </c>
      <c r="E63" s="306">
        <f t="shared" si="6"/>
        <v>0</v>
      </c>
      <c r="F63" s="298">
        <f t="shared" si="7"/>
        <v>1</v>
      </c>
      <c r="G63" s="292"/>
      <c r="H63" s="291"/>
      <c r="I63" s="292"/>
      <c r="J63" s="292"/>
      <c r="K63" s="292"/>
      <c r="L63" s="292"/>
      <c r="M63" s="293"/>
      <c r="N63" s="210"/>
      <c r="O63" s="211"/>
      <c r="P63" s="211"/>
      <c r="Q63" s="211"/>
      <c r="R63" s="211"/>
      <c r="S63" s="211"/>
      <c r="T63" s="211"/>
    </row>
    <row r="64" spans="1:20" ht="15.5" thickTop="1" thickBot="1" x14ac:dyDescent="0.4">
      <c r="A64" s="286" t="s">
        <v>136</v>
      </c>
      <c r="B64" s="287" t="s">
        <v>61</v>
      </c>
      <c r="C64" s="287" t="s">
        <v>137</v>
      </c>
      <c r="D64" s="289" t="str">
        <f>E3</f>
        <v>2023-2024</v>
      </c>
      <c r="E64" s="286" t="s">
        <v>58</v>
      </c>
      <c r="F64" s="288" t="s">
        <v>63</v>
      </c>
      <c r="G64" s="292"/>
      <c r="H64" s="291"/>
      <c r="I64" s="292"/>
      <c r="J64" s="292"/>
      <c r="K64" s="292"/>
      <c r="L64" s="292"/>
      <c r="M64" s="293"/>
      <c r="N64" s="210"/>
      <c r="O64" s="211"/>
      <c r="P64" s="211"/>
      <c r="Q64" s="211"/>
      <c r="R64" s="211"/>
      <c r="S64" s="211"/>
      <c r="T64" s="211"/>
    </row>
    <row r="65" spans="1:20" ht="15.5" thickTop="1" thickBot="1" x14ac:dyDescent="0.4">
      <c r="A65" s="405" t="s">
        <v>138</v>
      </c>
      <c r="B65" s="294" t="s">
        <v>65</v>
      </c>
      <c r="C65" s="308"/>
      <c r="D65" s="427">
        <f>IF(E3="2021-2022",0.8813,IF(E3="2022-2023",0.8906,IF(E3="2023-2024",0.8999,IF(E3="2024-2025",0.9092,IF(E3="2025-2026",0.9185,IF(E3="2026-2027",0.9278,IF(E3="2027-2028",0.9371,IF(E3="2028-2029",0.9464,IF(E3="2029-2030",0.9557, IF(E3="2030-2031",0.965,0))))))))))</f>
        <v>0.89990000000000003</v>
      </c>
      <c r="E65" s="405">
        <f>IF(AND(B65="Yes",C65&gt;=D65),1,0)</f>
        <v>0</v>
      </c>
      <c r="F65" s="404">
        <f>IF(B65="Yes",1,0)</f>
        <v>1</v>
      </c>
      <c r="G65" s="292"/>
      <c r="H65" s="291"/>
      <c r="I65" s="292"/>
      <c r="J65" s="292"/>
      <c r="K65" s="292"/>
      <c r="L65" s="292"/>
      <c r="M65" s="293"/>
      <c r="N65" s="210"/>
      <c r="O65" s="211"/>
      <c r="P65" s="211"/>
      <c r="Q65" s="211"/>
      <c r="R65" s="211"/>
      <c r="S65" s="211"/>
      <c r="T65" s="211"/>
    </row>
    <row r="66" spans="1:20" ht="15.5" thickTop="1" thickBot="1" x14ac:dyDescent="0.4">
      <c r="A66" s="405" t="s">
        <v>139</v>
      </c>
      <c r="B66" s="294" t="s">
        <v>65</v>
      </c>
      <c r="C66" s="308"/>
      <c r="D66" s="427">
        <f>IF(E3="2021-2022",0.8064,IF(E3="2022-2023",0.8147,IF(E3="2023-2024",0.8231,IF(E3="2024-2025",0.8314,IF(E3="2025-2026",0.8398,IF(E3="2026-2027",0.8481,IF(E3="2027-2028",0.8565,IF(E3="2028-2029",0.8648,IF(E3="2029-2030",0.8732, IF(E3="2030-2031",0.8815,0))))))))))</f>
        <v>0.82310000000000005</v>
      </c>
      <c r="E66" s="405">
        <f t="shared" ref="E66:E74" si="8">IF(AND(B66="Yes",C66&gt;=D66),1,0)</f>
        <v>0</v>
      </c>
      <c r="F66" s="404">
        <f t="shared" ref="F66:F74" si="9">IF(B66="Yes",1,0)</f>
        <v>1</v>
      </c>
      <c r="G66" s="292"/>
      <c r="H66" s="291"/>
      <c r="I66" s="292"/>
      <c r="J66" s="292"/>
      <c r="K66" s="292"/>
      <c r="L66" s="292"/>
      <c r="M66" s="293"/>
      <c r="N66" s="210"/>
      <c r="O66" s="211"/>
      <c r="P66" s="211"/>
      <c r="Q66" s="211"/>
      <c r="R66" s="211"/>
      <c r="S66" s="211"/>
      <c r="T66" s="211"/>
    </row>
    <row r="67" spans="1:20" ht="15.5" thickTop="1" thickBot="1" x14ac:dyDescent="0.4">
      <c r="A67" s="405" t="s">
        <v>140</v>
      </c>
      <c r="B67" s="294" t="s">
        <v>65</v>
      </c>
      <c r="C67" s="308"/>
      <c r="D67" s="427">
        <f>IF(E3="2021-2022",0.927,IF(E3="2022-2023",0.929,IF(E3="2023-2024",0.931,IF(E3="2024-2025",0.933,IF(E3="2025-2026",0.935,IF(E3="2026-2027",0.937,IF(E3="2027-2028",0.939,IF(E3="2028-2029",0.941,IF(E3="2029-2030",0.943, IF(E3="2030-2031",0.945,0))))))))))</f>
        <v>0.93100000000000005</v>
      </c>
      <c r="E67" s="405">
        <f t="shared" si="8"/>
        <v>0</v>
      </c>
      <c r="F67" s="404">
        <f t="shared" si="9"/>
        <v>1</v>
      </c>
      <c r="G67" s="292"/>
      <c r="H67" s="291"/>
      <c r="I67" s="292"/>
      <c r="J67" s="292"/>
      <c r="K67" s="292"/>
      <c r="L67" s="292"/>
      <c r="M67" s="293"/>
      <c r="N67" s="210"/>
      <c r="O67" s="211"/>
      <c r="P67" s="211"/>
      <c r="Q67" s="211"/>
      <c r="R67" s="211"/>
      <c r="S67" s="211"/>
      <c r="T67" s="211"/>
    </row>
    <row r="68" spans="1:20" ht="15.5" thickTop="1" thickBot="1" x14ac:dyDescent="0.4">
      <c r="A68" s="405" t="s">
        <v>141</v>
      </c>
      <c r="B68" s="294" t="s">
        <v>65</v>
      </c>
      <c r="C68" s="308"/>
      <c r="D68" s="427">
        <f>IF(E3="2021-2022",0.7788,IF(E3="2022-2023",0.7886,IF(E3="2023-2024",0.7984,IF(E3="2024-2025",0.8082,IF(E3="2025-2026",0.818,IF(E3="2026-2027",0.8278,IF(E3="2027-2028",0.8376,IF(E3="2028-2029",0.8474,IF(E3="2029-2030",0.8572, IF(E3="2030-2031",0.867,0))))))))))</f>
        <v>0.7984</v>
      </c>
      <c r="E68" s="405">
        <f t="shared" si="8"/>
        <v>0</v>
      </c>
      <c r="F68" s="404">
        <f t="shared" si="9"/>
        <v>1</v>
      </c>
      <c r="G68" s="292"/>
      <c r="H68" s="291"/>
      <c r="I68" s="292"/>
      <c r="J68" s="292"/>
      <c r="K68" s="292"/>
      <c r="L68" s="292"/>
      <c r="M68" s="293"/>
      <c r="N68" s="210"/>
      <c r="O68" s="211"/>
      <c r="P68" s="211"/>
      <c r="Q68" s="211"/>
      <c r="R68" s="211"/>
      <c r="S68" s="211"/>
      <c r="T68" s="211"/>
    </row>
    <row r="69" spans="1:20" ht="15.5" thickTop="1" thickBot="1" x14ac:dyDescent="0.4">
      <c r="A69" s="405" t="s">
        <v>142</v>
      </c>
      <c r="B69" s="294" t="s">
        <v>65</v>
      </c>
      <c r="C69" s="308"/>
      <c r="D69" s="427">
        <f>IF(E3="2021-2022",0.7969,IF(E3="2022-2023",0.8057,IF(E3="2023-2024",0.8146,IF(E3="2024-2025",0.8234,IF(E3="2025-2026",0.8323,IF(E3="2026-2027",0.8411,IF(E3="2027-2028",0.85,IF(E3="2028-2029",0.8588,IF(E3="2029-2030",0.8677, IF(E3="2030-2031",0.8765,0))))))))))</f>
        <v>0.81459999999999999</v>
      </c>
      <c r="E69" s="405">
        <f t="shared" si="8"/>
        <v>0</v>
      </c>
      <c r="F69" s="404">
        <f t="shared" si="9"/>
        <v>1</v>
      </c>
      <c r="G69" s="292"/>
      <c r="H69" s="291"/>
      <c r="I69" s="292"/>
      <c r="J69" s="292"/>
      <c r="K69" s="292"/>
      <c r="L69" s="292"/>
      <c r="M69" s="293"/>
      <c r="N69" s="210"/>
      <c r="O69" s="211"/>
      <c r="P69" s="211"/>
      <c r="Q69" s="211"/>
      <c r="R69" s="211"/>
      <c r="S69" s="211"/>
      <c r="T69" s="211"/>
    </row>
    <row r="70" spans="1:20" ht="15.5" thickTop="1" thickBot="1" x14ac:dyDescent="0.4">
      <c r="A70" s="405" t="s">
        <v>143</v>
      </c>
      <c r="B70" s="294" t="s">
        <v>65</v>
      </c>
      <c r="C70" s="308"/>
      <c r="D70" s="427">
        <f>IF(E3="2021-2022",0.8425,IF(E3="2022-2023",0.8489,IF(E3="2023-2024",0.8554,IF(E3="2024-2025",0.8618,IF(E3="2025-2026",0.8683,IF(E3="2026-2027",0.8747,IF(E3="2027-2028",0.8812,IF(E3="2028-2029",0.8876,IF(E3="2029-2030",0.8941, IF(E3="2030-2031",0.9005,0))))))))))</f>
        <v>0.85540000000000005</v>
      </c>
      <c r="E70" s="405">
        <f t="shared" si="8"/>
        <v>0</v>
      </c>
      <c r="F70" s="404">
        <f t="shared" si="9"/>
        <v>1</v>
      </c>
      <c r="G70" s="292"/>
      <c r="H70" s="291"/>
      <c r="I70" s="292"/>
      <c r="J70" s="292"/>
      <c r="K70" s="292"/>
      <c r="L70" s="292"/>
      <c r="M70" s="293"/>
      <c r="N70" s="210"/>
      <c r="O70" s="211"/>
      <c r="P70" s="211"/>
      <c r="Q70" s="211"/>
      <c r="R70" s="211"/>
      <c r="S70" s="211"/>
      <c r="T70" s="211"/>
    </row>
    <row r="71" spans="1:20" ht="15.5" thickTop="1" thickBot="1" x14ac:dyDescent="0.4">
      <c r="A71" s="405" t="s">
        <v>144</v>
      </c>
      <c r="B71" s="294" t="s">
        <v>65</v>
      </c>
      <c r="C71" s="308"/>
      <c r="D71" s="427">
        <f>IF(E3="2021-2022",0.9042,IF(E3="2022-2023",0.9074,IF(E3="2023-2024",0.9106,IF(E3="2024-2025",0.9138,IF(E3="2025-2026",0.917,IF(E3="2026-2027",0.9202,IF(E3="2027-2028",0.9234,IF(E3="2028-2029",0.9266,IF(E3="2029-2030",0.9298, IF(E3="2030-2031",0.933,0))))))))))</f>
        <v>0.91059999999999997</v>
      </c>
      <c r="E71" s="405">
        <f t="shared" si="8"/>
        <v>0</v>
      </c>
      <c r="F71" s="404">
        <f t="shared" si="9"/>
        <v>1</v>
      </c>
      <c r="G71" s="292"/>
      <c r="H71" s="291"/>
      <c r="I71" s="292"/>
      <c r="J71" s="292"/>
      <c r="K71" s="292"/>
      <c r="L71" s="292"/>
      <c r="M71" s="293"/>
      <c r="N71" s="210"/>
      <c r="O71" s="211"/>
      <c r="P71" s="211"/>
      <c r="Q71" s="211"/>
      <c r="R71" s="211"/>
      <c r="S71" s="211"/>
      <c r="T71" s="211"/>
    </row>
    <row r="72" spans="1:20" ht="15.5" thickTop="1" thickBot="1" x14ac:dyDescent="0.4">
      <c r="A72" s="405" t="s">
        <v>145</v>
      </c>
      <c r="B72" s="294" t="s">
        <v>65</v>
      </c>
      <c r="C72" s="308"/>
      <c r="D72" s="427">
        <f>IF(E3="2021-2022",0.7931,IF(E3="2022-2023",0.8021,IF(E3="2023-2024",0.8112,IF(E3="2024-2025",0.8202,IF(E3="2025-2026",0.8293,IF(E3="2026-2027",0.8383,IF(E3="2027-2028",0.8474,IF(E3="2028-2029",0.8564,IF(E3="2029-2030",0.8655, IF(E3="2030-2031",0.8745,0))))))))))</f>
        <v>0.81120000000000003</v>
      </c>
      <c r="E72" s="405">
        <f t="shared" si="8"/>
        <v>0</v>
      </c>
      <c r="F72" s="404">
        <f t="shared" si="9"/>
        <v>1</v>
      </c>
      <c r="G72" s="292"/>
      <c r="H72" s="291"/>
      <c r="I72" s="292"/>
      <c r="J72" s="292"/>
      <c r="K72" s="292"/>
      <c r="L72" s="292"/>
      <c r="M72" s="293"/>
      <c r="N72" s="210"/>
      <c r="O72" s="211"/>
      <c r="P72" s="211"/>
      <c r="Q72" s="211"/>
      <c r="R72" s="211"/>
      <c r="S72" s="211"/>
      <c r="T72" s="211"/>
    </row>
    <row r="73" spans="1:20" ht="15.5" thickTop="1" thickBot="1" x14ac:dyDescent="0.4">
      <c r="A73" s="405" t="s">
        <v>147</v>
      </c>
      <c r="B73" s="294" t="s">
        <v>65</v>
      </c>
      <c r="C73" s="308"/>
      <c r="D73" s="427">
        <f>IF(E3="2021-2022",0.7541,IF(E3="2022-2023",0.7652,IF(E3="2023-2024",0.7763,IF(E3="2024-2025",0.7874,IF(E3="2025-2026",0.7985,IF(E3="2026-2027",0.8096,IF(E3="2027-2028",0.8207,IF(E3="2028-2029",0.8318,IF(E3="2029-2030",0.8429, IF(E3="2030-2031",0.854,0))))))))))</f>
        <v>0.77629999999999999</v>
      </c>
      <c r="E73" s="405">
        <f t="shared" si="8"/>
        <v>0</v>
      </c>
      <c r="F73" s="404">
        <f t="shared" si="9"/>
        <v>1</v>
      </c>
      <c r="G73" s="292"/>
      <c r="H73" s="291"/>
      <c r="I73" s="292"/>
      <c r="J73" s="292"/>
      <c r="K73" s="292"/>
      <c r="L73" s="292"/>
      <c r="M73" s="293"/>
      <c r="N73" s="210"/>
      <c r="O73" s="211"/>
      <c r="P73" s="211"/>
      <c r="Q73" s="211"/>
      <c r="R73" s="211"/>
      <c r="S73" s="211"/>
      <c r="T73" s="211"/>
    </row>
    <row r="74" spans="1:20" ht="15.5" thickTop="1" thickBot="1" x14ac:dyDescent="0.4">
      <c r="A74" s="306" t="s">
        <v>146</v>
      </c>
      <c r="B74" s="294" t="s">
        <v>65</v>
      </c>
      <c r="C74" s="308"/>
      <c r="D74" s="428">
        <f>IF(E3="2021-2022",0.7199,IF(E3="2022-2023",0.7328,IF(E3="2023-2024",0.7457,IF(E3="2024-2025",0.7586,IF(E3="2025-2026",0.7715,IF(E3="2026-2027",0.7844,IF(E3="2027-2028",0.7973,IF(E3="2028-2029",0.8102,IF(E3="2029-2030",0.8231, IF(E3="2030-2031",0.836,0))))))))))</f>
        <v>0.74570000000000003</v>
      </c>
      <c r="E74" s="306">
        <f t="shared" si="8"/>
        <v>0</v>
      </c>
      <c r="F74" s="298">
        <f t="shared" si="9"/>
        <v>1</v>
      </c>
      <c r="G74" s="342"/>
      <c r="H74" s="343"/>
      <c r="I74" s="342"/>
      <c r="J74" s="342"/>
      <c r="K74" s="342"/>
      <c r="L74" s="342"/>
      <c r="M74" s="344"/>
      <c r="N74" s="231"/>
      <c r="O74" s="232"/>
      <c r="P74" s="232"/>
      <c r="Q74" s="232"/>
      <c r="R74" s="232"/>
      <c r="S74" s="232"/>
      <c r="T74" s="232"/>
    </row>
    <row r="75" spans="1:20" ht="15" thickTop="1" x14ac:dyDescent="0.35"/>
    <row r="76" spans="1:20" x14ac:dyDescent="0.35">
      <c r="A76" s="424" t="s">
        <v>42</v>
      </c>
    </row>
    <row r="77" spans="1:20" x14ac:dyDescent="0.35">
      <c r="A77" s="172" t="s">
        <v>43</v>
      </c>
    </row>
  </sheetData>
  <sheetProtection sheet="1" objects="1" scenarios="1"/>
  <mergeCells count="14">
    <mergeCell ref="Q36:Q37"/>
    <mergeCell ref="R36:S37"/>
    <mergeCell ref="O47:R47"/>
    <mergeCell ref="O48:R48"/>
    <mergeCell ref="A5:C5"/>
    <mergeCell ref="E5:F5"/>
    <mergeCell ref="P21:R21"/>
    <mergeCell ref="G5:M5"/>
    <mergeCell ref="N5:T5"/>
    <mergeCell ref="E8:F9"/>
    <mergeCell ref="O35:S35"/>
    <mergeCell ref="O38:P38"/>
    <mergeCell ref="R38:S38"/>
    <mergeCell ref="O36:P37"/>
  </mergeCells>
  <dataValidations xWindow="561" yWindow="699" count="13">
    <dataValidation type="list" allowBlank="1" showInputMessage="1" showErrorMessage="1" sqref="B18:B19 B8:B9" xr:uid="{E42EA744-1B2F-4DCF-A330-A6B9C84191A2}">
      <formula1>"Yes,No"</formula1>
    </dataValidation>
    <dataValidation type="list" allowBlank="1" showInputMessage="1" showErrorMessage="1" promptTitle="&lt;Select Year to be evaluated&gt;" prompt="To determine which Goals are appropriate, please select the year you are wishing to evaluate." sqref="E3" xr:uid="{54296445-C654-43F6-9939-65520897433A}">
      <formula1>"2021-2022,2022-2023,2023-2024,2024-2025,2025-2026,2026-2027,2027-2028,2028-2029,2029-2030,2030-2031"</formula1>
    </dataValidation>
    <dataValidation type="list" allowBlank="1" showInputMessage="1" showErrorMessage="1" promptTitle="&lt;Select Yes or No&gt;" prompt="Select Yes or no based on whether this measure is applicable in your district or school." sqref="B7 B11 B13 B15 B17 B21:B30 B32:B41 B43:B52 B54:B63 B65:B74" xr:uid="{02F9CC2A-6BE9-419A-B681-941E9CA67254}">
      <formula1>"Yes,No"</formula1>
    </dataValidation>
    <dataValidation allowBlank="1" showInputMessage="1" showErrorMessage="1" promptTitle="&lt;Enter Chronic Absenteeism %&gt;" prompt="This information can be found:_x000a_*Report Card- Gap Closing page_x000a_*SDC-Student Attendance&gt;&gt;District(School) Absenteeism and Attendance&gt;&gt;Absenteeism Overview_x000a_*Advanced Reports-District(School) Dashboard&gt;&gt;Overview&gt;&gt;Chronic Absenteeism Trends" sqref="C7 C9" xr:uid="{2C75366E-69F7-44E3-9DA8-3F34148BC7A4}"/>
    <dataValidation allowBlank="1" showInputMessage="1" showErrorMessage="1" promptTitle="&lt;Enter Gifted PI %&gt;" prompt="This information can be found:_x000a_*Report Card- Gap Closing page_x000a_*SDC- Local Report Card&gt;&gt;District(School) Report Card&gt;&gt;Gap Closing&gt;&gt;Gifted" sqref="C11" xr:uid="{9BB28C83-AF19-4728-A479-746DC458EBD8}"/>
    <dataValidation type="list" allowBlank="1" showInputMessage="1" showErrorMessage="1" promptTitle="&lt;Enter Gifted Progress Star&gt;" prompt="This information can be found:_x000a_*Report Card- Gap Closing page_x000a_*SDC- Local Report Card&gt;&gt;District(School) Report Card&gt;&gt;Gap Closing&gt;&gt;Gifted" sqref="C13" xr:uid="{CE8EF5FA-FAF1-4D4E-BEB4-432C47F854C0}">
      <formula1>$S$22:$S$26</formula1>
    </dataValidation>
    <dataValidation allowBlank="1" showInputMessage="1" showErrorMessage="1" promptTitle="&lt;Enter Gifted ID &amp; Service %&gt;" prompt="This information can be found:_x000a_*Report Card- Gap Closing page_x000a_*SDC- Local Report Card&gt;&gt;District(School) Report Card&gt;&gt;Gap Closing&gt;&gt;Gifted" sqref="C15" xr:uid="{C1F57BB3-75C7-4DD6-83C8-80198A311BD0}"/>
    <dataValidation allowBlank="1" showInputMessage="1" showErrorMessage="1" promptTitle="&lt;Enter EL Proficiency&gt;" prompt="This information can be found:_x000a_*Report Card- Gap Closing page_x000a_*SDC- Local Report Card&gt;&gt;District(School) Report Card&gt;&gt;Gap Closing&gt;&gt;Gap Closing English Learner" sqref="C17 C19" xr:uid="{071B17C1-5D9C-4C06-997F-8B00B14D17DB}"/>
    <dataValidation allowBlank="1" showInputMessage="1" showErrorMessage="1" promptTitle="&lt;Enter PI Index&gt;" prompt="This information can be found:_x000a_*Report Card- Gap Closing page_x000a_*SDC- Local Report Card&gt;&gt;District(School) Report Card&gt;&gt;Gap Closing&gt;&gt;Gap Closing ELA Details" sqref="C21:C30" xr:uid="{A6D96C32-A82B-4969-8E71-743642280810}"/>
    <dataValidation allowBlank="1" showInputMessage="1" showErrorMessage="1" promptTitle="&lt;Enter ELA Growth Index&gt;" prompt="This information can be found:_x000a_*Report Card- Gap Closing page_x000a_*SDC- Local Report Card&gt;&gt;District(School) Report Card&gt;&gt;Gap Closing&gt;&gt;Gap Closing ELA Details" sqref="C32:C41" xr:uid="{7580069C-CB91-4825-A0C0-7841EE7FD1B9}"/>
    <dataValidation allowBlank="1" showInputMessage="1" showErrorMessage="1" promptTitle="&lt;Enter Math PI Index&gt;" prompt="This information can be found:_x000a_*Report Card- Gap Closing page_x000a_*SDC- Local Report Card&gt;&gt;District(School) Report Card&gt;&gt;Gap Closing&gt;&gt;Gap Closing Math Details" sqref="C43:C52" xr:uid="{69D5E44D-F0CF-429E-8BE4-8EB6EA0B15F9}"/>
    <dataValidation allowBlank="1" showInputMessage="1" showErrorMessage="1" promptTitle="&lt;Enter Math Growth Index&gt;" prompt="This information can be found:_x000a_*Report Card- Gap Closing page_x000a_*SDC- Local Report Card&gt;&gt;District(School) Report Card&gt;&gt;Gap Closing&gt;&gt;Gap Closing Math Details" sqref="C54:C63" xr:uid="{668A262D-0540-48EA-9F8B-C00C7E15297C}"/>
    <dataValidation allowBlank="1" showInputMessage="1" showErrorMessage="1" promptTitle="&lt;Enter 4 Year Grad Percentage&gt;" prompt="This information can be found:_x000a_*Report Card- Gap Closing page_x000a_*SDC- Local Report Card&gt;&gt;District(School) Report Card&gt;&gt;Gap Closing&gt;&gt;Gap Closing Grad Rate" sqref="C65:C74" xr:uid="{0F3785E7-31FB-429D-BC6A-02317DF18AE1}"/>
  </dataValidations>
  <hyperlinks>
    <hyperlink ref="A76" r:id="rId1" xr:uid="{BE0A3D3F-751A-4CEA-B312-361D8FDFD063}"/>
    <hyperlink ref="A77" r:id="rId2" xr:uid="{566701A7-2EF2-4DB1-9E7F-1A653A5096A6}"/>
  </hyperlinks>
  <pageMargins left="0.7" right="0.7" top="0.75" bottom="0.75" header="0.3" footer="0.3"/>
  <pageSetup orientation="portrait" horizontalDpi="1200" verticalDpi="12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00AB3-17EF-4A44-BCB5-58CFCCBD728D}">
  <dimension ref="A1:X41"/>
  <sheetViews>
    <sheetView topLeftCell="A4" zoomScale="90" zoomScaleNormal="90" workbookViewId="0">
      <selection activeCell="U35" sqref="U35"/>
    </sheetView>
  </sheetViews>
  <sheetFormatPr defaultColWidth="9.1796875" defaultRowHeight="14.5" x14ac:dyDescent="0.35"/>
  <cols>
    <col min="1" max="8" width="11.81640625" style="2" customWidth="1"/>
    <col min="9" max="18" width="9.1796875" style="2"/>
    <col min="19" max="19" width="11.453125" style="2" bestFit="1" customWidth="1"/>
    <col min="20" max="20" width="15.26953125" style="2" bestFit="1" customWidth="1"/>
    <col min="21" max="21" width="14.54296875" style="2" bestFit="1" customWidth="1"/>
    <col min="22" max="16384" width="9.1796875" style="2"/>
  </cols>
  <sheetData>
    <row r="1" spans="1:23" x14ac:dyDescent="0.35">
      <c r="A1" s="1" t="s">
        <v>7</v>
      </c>
    </row>
    <row r="2" spans="1:23" x14ac:dyDescent="0.35">
      <c r="A2" s="2" t="s">
        <v>148</v>
      </c>
    </row>
    <row r="3" spans="1:23" x14ac:dyDescent="0.35">
      <c r="A3" s="2" t="s">
        <v>149</v>
      </c>
    </row>
    <row r="5" spans="1:23" ht="21" x14ac:dyDescent="0.5">
      <c r="A5" s="436" t="s">
        <v>150</v>
      </c>
      <c r="B5" s="437"/>
      <c r="C5" s="437"/>
      <c r="D5" s="437"/>
      <c r="E5" s="437"/>
      <c r="F5" s="437"/>
      <c r="G5" s="437"/>
      <c r="H5" s="437"/>
      <c r="I5" s="438"/>
      <c r="J5" s="469" t="s">
        <v>59</v>
      </c>
      <c r="K5" s="470"/>
      <c r="L5" s="470"/>
      <c r="M5" s="470"/>
      <c r="N5" s="470"/>
      <c r="O5" s="470"/>
      <c r="P5" s="470"/>
      <c r="Q5" s="470"/>
      <c r="R5" s="470"/>
      <c r="S5" s="470"/>
      <c r="T5" s="470"/>
      <c r="U5" s="470"/>
      <c r="V5" s="470"/>
      <c r="W5" s="471"/>
    </row>
    <row r="6" spans="1:23" ht="15" thickBot="1" x14ac:dyDescent="0.4">
      <c r="A6" s="208"/>
      <c r="B6" s="40"/>
      <c r="C6" s="40"/>
      <c r="D6" s="40"/>
      <c r="E6" s="40"/>
      <c r="F6" s="40"/>
      <c r="G6" s="40"/>
      <c r="H6" s="40"/>
      <c r="I6" s="209"/>
      <c r="J6" s="210"/>
      <c r="K6" s="211"/>
      <c r="L6" s="211"/>
      <c r="M6" s="211"/>
      <c r="N6" s="211"/>
      <c r="O6" s="211"/>
      <c r="P6" s="211"/>
      <c r="Q6" s="211"/>
      <c r="R6" s="211"/>
      <c r="S6" s="211"/>
      <c r="T6" s="211"/>
      <c r="U6" s="211"/>
      <c r="V6" s="211"/>
      <c r="W6" s="212"/>
    </row>
    <row r="7" spans="1:23" ht="30.75" customHeight="1" thickBot="1" x14ac:dyDescent="0.4">
      <c r="A7" s="551" t="s">
        <v>151</v>
      </c>
      <c r="B7" s="552"/>
      <c r="C7" s="552"/>
      <c r="D7" s="552"/>
      <c r="E7" s="552"/>
      <c r="F7" s="552"/>
      <c r="G7" s="552"/>
      <c r="H7" s="553"/>
      <c r="I7" s="209"/>
      <c r="J7" s="210"/>
      <c r="K7" s="211"/>
      <c r="L7" s="211"/>
      <c r="M7" s="211"/>
      <c r="N7" s="211"/>
      <c r="O7" s="211"/>
      <c r="P7" s="211"/>
      <c r="Q7" s="211"/>
      <c r="R7" s="211"/>
      <c r="S7" s="211"/>
      <c r="T7" s="211"/>
      <c r="U7" s="211"/>
      <c r="V7" s="211"/>
      <c r="W7" s="212"/>
    </row>
    <row r="8" spans="1:23" ht="15" thickBot="1" x14ac:dyDescent="0.4">
      <c r="A8" s="433" t="s">
        <v>152</v>
      </c>
      <c r="B8" s="434"/>
      <c r="C8" s="434"/>
      <c r="D8" s="434"/>
      <c r="E8" s="434"/>
      <c r="F8" s="434"/>
      <c r="G8" s="434"/>
      <c r="H8" s="539"/>
      <c r="I8" s="209"/>
      <c r="J8" s="210"/>
      <c r="K8" s="530" t="s">
        <v>153</v>
      </c>
      <c r="L8" s="531"/>
      <c r="M8" s="531" t="s">
        <v>17</v>
      </c>
      <c r="N8" s="531"/>
      <c r="O8" s="531" t="s">
        <v>63</v>
      </c>
      <c r="P8" s="549"/>
      <c r="Q8" s="211"/>
      <c r="R8" s="211"/>
      <c r="S8" s="211"/>
      <c r="T8" s="211"/>
      <c r="U8" s="211"/>
      <c r="V8" s="211"/>
      <c r="W8" s="212"/>
    </row>
    <row r="9" spans="1:23" ht="15.5" thickTop="1" thickBot="1" x14ac:dyDescent="0.4">
      <c r="A9" s="540" t="s">
        <v>274</v>
      </c>
      <c r="B9" s="541"/>
      <c r="C9" s="541" t="s">
        <v>275</v>
      </c>
      <c r="D9" s="542"/>
      <c r="E9" s="540" t="s">
        <v>276</v>
      </c>
      <c r="F9" s="541"/>
      <c r="G9" s="541" t="s">
        <v>274</v>
      </c>
      <c r="H9" s="542"/>
      <c r="I9" s="209"/>
      <c r="J9" s="210"/>
      <c r="K9" s="550" t="s">
        <v>154</v>
      </c>
      <c r="L9" s="547"/>
      <c r="M9" s="547" t="str">
        <f>IF(AND(C10&lt;15),"&lt;15 Students",IF(AND(A12&gt;=0,A12&lt;0.1%),0,IF(AND(A12&gt;=0.1%,A12&lt;1%),5,IF(AND(A12&gt;=1%,A12&lt;2%),10,IF(AND(A12&gt;=2%,A12&lt;5%),15,IF(AND(A12&gt;=5%,A12&lt;10%),20,IF(AND(A12&gt;=10%,A12&lt;15%),25,IF(AND(A12&gt;=15%),30,0))))))))</f>
        <v>&lt;15 Students</v>
      </c>
      <c r="N9" s="547"/>
      <c r="O9" s="547">
        <f>IF(C10&lt;15,0,30)</f>
        <v>0</v>
      </c>
      <c r="P9" s="555"/>
      <c r="Q9" s="211"/>
      <c r="R9" s="211"/>
      <c r="S9" s="211"/>
      <c r="T9" s="211"/>
      <c r="U9" s="211"/>
      <c r="V9" s="211"/>
      <c r="W9" s="212"/>
    </row>
    <row r="10" spans="1:23" ht="15.5" thickTop="1" thickBot="1" x14ac:dyDescent="0.4">
      <c r="A10" s="524"/>
      <c r="B10" s="504"/>
      <c r="C10" s="505"/>
      <c r="D10" s="523"/>
      <c r="E10" s="524"/>
      <c r="F10" s="509"/>
      <c r="G10" s="528">
        <f>A10</f>
        <v>0</v>
      </c>
      <c r="H10" s="529"/>
      <c r="I10" s="209"/>
      <c r="J10" s="210"/>
      <c r="K10" s="554" t="s">
        <v>155</v>
      </c>
      <c r="L10" s="548"/>
      <c r="M10" s="548" t="str">
        <f>IF(AND(G10&lt;15),"&lt;15 Students",IF(AND(E12&gt;=0,E12&lt;1%),0,IF(AND(E12&gt;=1%,E12&lt;10%),5,IF(AND(E12&gt;=10%,E12&lt;40%),10,IF(AND(E12&gt;=40%,E12&lt;60%),20,IF(AND(E12&gt;=60%,E12&lt;80%),30,IF(AND(E12&gt;=80%),40)))))))</f>
        <v>&lt;15 Students</v>
      </c>
      <c r="N10" s="548"/>
      <c r="O10" s="548">
        <f>IF(G10&lt;15,0,40)</f>
        <v>0</v>
      </c>
      <c r="P10" s="556"/>
      <c r="Q10" s="211"/>
      <c r="R10" s="211"/>
      <c r="S10" s="211"/>
      <c r="T10" s="211"/>
      <c r="U10" s="211"/>
      <c r="V10" s="211"/>
      <c r="W10" s="212"/>
    </row>
    <row r="11" spans="1:23" ht="15" thickTop="1" x14ac:dyDescent="0.35">
      <c r="A11" s="517" t="s">
        <v>156</v>
      </c>
      <c r="B11" s="434"/>
      <c r="C11" s="434" t="s">
        <v>58</v>
      </c>
      <c r="D11" s="518"/>
      <c r="E11" s="517" t="s">
        <v>157</v>
      </c>
      <c r="F11" s="434"/>
      <c r="G11" s="434" t="s">
        <v>58</v>
      </c>
      <c r="H11" s="518"/>
      <c r="I11" s="209"/>
      <c r="J11" s="210"/>
      <c r="K11" s="211"/>
      <c r="L11" s="211"/>
      <c r="M11" s="211"/>
      <c r="N11" s="211"/>
      <c r="O11" s="211"/>
      <c r="P11" s="211"/>
      <c r="Q11" s="211"/>
      <c r="R11" s="211"/>
      <c r="S11" s="211"/>
      <c r="T11" s="211"/>
      <c r="U11" s="211"/>
      <c r="V11" s="211"/>
      <c r="W11" s="212"/>
    </row>
    <row r="12" spans="1:23" ht="15" thickBot="1" x14ac:dyDescent="0.4">
      <c r="A12" s="506" t="e">
        <f>A10/C10</f>
        <v>#DIV/0!</v>
      </c>
      <c r="B12" s="507"/>
      <c r="C12" s="507"/>
      <c r="D12" s="508"/>
      <c r="E12" s="506" t="e">
        <f>E10/G10</f>
        <v>#DIV/0!</v>
      </c>
      <c r="F12" s="507"/>
      <c r="G12" s="507"/>
      <c r="H12" s="508"/>
      <c r="I12" s="209"/>
      <c r="J12" s="210"/>
      <c r="K12" s="211"/>
      <c r="L12" s="211"/>
      <c r="M12" s="211"/>
      <c r="N12" s="211"/>
      <c r="O12" s="211"/>
      <c r="P12" s="211"/>
      <c r="Q12" s="211"/>
      <c r="R12" s="211"/>
      <c r="S12" s="211"/>
      <c r="T12" s="211"/>
      <c r="U12" s="211"/>
      <c r="V12" s="211"/>
      <c r="W12" s="212"/>
    </row>
    <row r="13" spans="1:23" ht="15.5" thickTop="1" thickBot="1" x14ac:dyDescent="0.4">
      <c r="A13" s="208"/>
      <c r="B13" s="40"/>
      <c r="C13" s="40"/>
      <c r="D13" s="40"/>
      <c r="E13" s="40"/>
      <c r="F13" s="40"/>
      <c r="G13" s="40"/>
      <c r="H13" s="40"/>
      <c r="I13" s="209"/>
      <c r="J13" s="210"/>
      <c r="K13" s="211"/>
      <c r="L13" s="211"/>
      <c r="M13" s="211"/>
      <c r="N13" s="211"/>
      <c r="O13" s="211"/>
      <c r="P13" s="211"/>
      <c r="Q13" s="211"/>
      <c r="R13" s="211"/>
      <c r="S13" s="211"/>
      <c r="T13" s="211"/>
      <c r="U13" s="211"/>
      <c r="V13" s="211"/>
      <c r="W13" s="212"/>
    </row>
    <row r="14" spans="1:23" x14ac:dyDescent="0.35">
      <c r="A14" s="532" t="s">
        <v>158</v>
      </c>
      <c r="B14" s="533"/>
      <c r="C14" s="533"/>
      <c r="D14" s="533"/>
      <c r="E14" s="533"/>
      <c r="F14" s="533"/>
      <c r="G14" s="533"/>
      <c r="H14" s="534"/>
      <c r="I14" s="209"/>
      <c r="J14" s="210"/>
      <c r="K14" s="211"/>
      <c r="L14" s="211"/>
      <c r="M14" s="211"/>
      <c r="N14" s="211"/>
      <c r="O14" s="211"/>
      <c r="P14" s="211"/>
      <c r="Q14" s="211"/>
      <c r="R14" s="211"/>
      <c r="S14" s="211"/>
      <c r="T14" s="211"/>
      <c r="U14" s="211"/>
      <c r="V14" s="211"/>
      <c r="W14" s="212"/>
    </row>
    <row r="15" spans="1:23" ht="15" thickBot="1" x14ac:dyDescent="0.4">
      <c r="A15" s="535"/>
      <c r="B15" s="536"/>
      <c r="C15" s="536"/>
      <c r="D15" s="536"/>
      <c r="E15" s="536"/>
      <c r="F15" s="536"/>
      <c r="G15" s="536"/>
      <c r="H15" s="537"/>
      <c r="I15" s="209"/>
      <c r="J15" s="210"/>
      <c r="K15" s="211"/>
      <c r="L15" s="211"/>
      <c r="M15" s="211"/>
      <c r="N15" s="211"/>
      <c r="O15" s="211"/>
      <c r="P15" s="211"/>
      <c r="Q15" s="211"/>
      <c r="R15" s="211"/>
      <c r="S15" s="211"/>
      <c r="T15" s="211"/>
      <c r="U15" s="211"/>
      <c r="V15" s="211"/>
      <c r="W15" s="212"/>
    </row>
    <row r="16" spans="1:23" ht="15" thickBot="1" x14ac:dyDescent="0.4">
      <c r="A16" s="433" t="s">
        <v>152</v>
      </c>
      <c r="B16" s="434"/>
      <c r="C16" s="434"/>
      <c r="D16" s="434"/>
      <c r="E16" s="434"/>
      <c r="F16" s="434"/>
      <c r="G16" s="434"/>
      <c r="H16" s="539"/>
      <c r="I16" s="209"/>
      <c r="J16" s="210"/>
      <c r="K16" s="530" t="s">
        <v>159</v>
      </c>
      <c r="L16" s="531"/>
      <c r="M16" s="531" t="s">
        <v>17</v>
      </c>
      <c r="N16" s="531"/>
      <c r="O16" s="531" t="s">
        <v>63</v>
      </c>
      <c r="P16" s="549"/>
      <c r="Q16" s="211"/>
      <c r="R16" s="211"/>
      <c r="S16" s="211"/>
      <c r="T16" s="211"/>
      <c r="U16" s="211"/>
      <c r="V16" s="211"/>
      <c r="W16" s="212"/>
    </row>
    <row r="17" spans="1:24" ht="15.5" thickTop="1" thickBot="1" x14ac:dyDescent="0.4">
      <c r="A17" s="540" t="s">
        <v>274</v>
      </c>
      <c r="B17" s="541"/>
      <c r="C17" s="541" t="s">
        <v>275</v>
      </c>
      <c r="D17" s="542"/>
      <c r="E17" s="540" t="s">
        <v>276</v>
      </c>
      <c r="F17" s="541"/>
      <c r="G17" s="541" t="s">
        <v>274</v>
      </c>
      <c r="H17" s="542"/>
      <c r="I17" s="209"/>
      <c r="J17" s="210"/>
      <c r="K17" s="550" t="s">
        <v>154</v>
      </c>
      <c r="L17" s="547"/>
      <c r="M17" s="547" t="str">
        <f>IF(AND(C18&lt;15),"&lt;15 Students",IF(AND(A20&gt;=0,A20&lt;0.1%),0,IF(AND(A20&gt;=0.1%,A20&lt;1%),1,IF(AND(A20&gt;=1%,A20&lt;2%),2,IF(AND(A20&gt;=2%,A20&lt;3%),3,IF(AND(A20&gt;=3%,A20&lt;5%),4,IF(AND(A20&gt;=5%),5,0)))))))</f>
        <v>&lt;15 Students</v>
      </c>
      <c r="N17" s="547"/>
      <c r="O17" s="547">
        <f>IF(C18&lt;15,0,5)</f>
        <v>0</v>
      </c>
      <c r="P17" s="555"/>
      <c r="Q17" s="211"/>
      <c r="R17" s="211"/>
      <c r="S17" s="211"/>
      <c r="T17" s="211"/>
      <c r="U17" s="211"/>
      <c r="V17" s="211"/>
      <c r="W17" s="212"/>
    </row>
    <row r="18" spans="1:24" ht="15.5" thickTop="1" thickBot="1" x14ac:dyDescent="0.4">
      <c r="A18" s="524"/>
      <c r="B18" s="504"/>
      <c r="C18" s="505"/>
      <c r="D18" s="523"/>
      <c r="E18" s="524"/>
      <c r="F18" s="504"/>
      <c r="G18" s="538">
        <f>A18</f>
        <v>0</v>
      </c>
      <c r="H18" s="529"/>
      <c r="I18" s="209"/>
      <c r="J18" s="210"/>
      <c r="K18" s="554" t="s">
        <v>155</v>
      </c>
      <c r="L18" s="548"/>
      <c r="M18" s="548" t="str">
        <f>IF(AND(G18&lt;15),"&lt;15 Students", IF(AND(E20&gt;=0,E20&lt;1%),0,IF(AND(E20&gt;=1%,E20&lt;10%),1,IF(AND(E20&gt;=10%,E20&lt;40%), 2,IF(AND(E20&gt;=40%,E20&lt;60%), 3,IF(AND(E20&gt;=60%,E20&lt;80%), 4,IF(AND(E20&gt;=80%),5,0)))))))</f>
        <v>&lt;15 Students</v>
      </c>
      <c r="N18" s="548"/>
      <c r="O18" s="548">
        <f>IF(G18&lt;15,0,5)</f>
        <v>0</v>
      </c>
      <c r="P18" s="556"/>
      <c r="Q18" s="211"/>
      <c r="R18" s="211"/>
      <c r="S18" s="211"/>
      <c r="T18" s="211"/>
      <c r="U18" s="211"/>
      <c r="V18" s="211"/>
      <c r="W18" s="212"/>
    </row>
    <row r="19" spans="1:24" ht="15.5" thickTop="1" thickBot="1" x14ac:dyDescent="0.4">
      <c r="A19" s="517" t="s">
        <v>156</v>
      </c>
      <c r="B19" s="434"/>
      <c r="C19" s="434" t="s">
        <v>58</v>
      </c>
      <c r="D19" s="518"/>
      <c r="E19" s="517" t="s">
        <v>157</v>
      </c>
      <c r="F19" s="434"/>
      <c r="G19" s="434" t="s">
        <v>58</v>
      </c>
      <c r="H19" s="518"/>
      <c r="I19" s="209"/>
      <c r="J19" s="210"/>
      <c r="K19" s="211"/>
      <c r="L19" s="211"/>
      <c r="M19" s="211"/>
      <c r="N19" s="211"/>
      <c r="O19" s="211"/>
      <c r="P19" s="211"/>
      <c r="Q19" s="211"/>
      <c r="R19" s="211"/>
      <c r="S19" s="213"/>
      <c r="T19" s="213"/>
      <c r="U19" s="213"/>
      <c r="V19" s="211"/>
      <c r="W19" s="212"/>
    </row>
    <row r="20" spans="1:24" ht="15" thickBot="1" x14ac:dyDescent="0.4">
      <c r="A20" s="506" t="e">
        <f>A18/C18</f>
        <v>#DIV/0!</v>
      </c>
      <c r="B20" s="507"/>
      <c r="C20" s="507"/>
      <c r="D20" s="508"/>
      <c r="E20" s="506" t="e">
        <f>E18/G18</f>
        <v>#DIV/0!</v>
      </c>
      <c r="F20" s="507"/>
      <c r="G20" s="507"/>
      <c r="H20" s="508"/>
      <c r="I20" s="209"/>
      <c r="J20" s="210"/>
      <c r="K20" s="211"/>
      <c r="L20" s="211"/>
      <c r="M20" s="211"/>
      <c r="N20" s="211"/>
      <c r="O20" s="211"/>
      <c r="P20" s="211"/>
      <c r="Q20" s="211"/>
      <c r="R20" s="211"/>
      <c r="S20" s="214" t="s">
        <v>160</v>
      </c>
      <c r="T20" s="215" t="s">
        <v>161</v>
      </c>
      <c r="U20" s="216" t="s">
        <v>162</v>
      </c>
      <c r="V20" s="211"/>
      <c r="W20" s="212"/>
    </row>
    <row r="21" spans="1:24" ht="15.5" thickTop="1" thickBot="1" x14ac:dyDescent="0.4">
      <c r="A21" s="208"/>
      <c r="B21" s="40"/>
      <c r="C21" s="40"/>
      <c r="D21" s="40"/>
      <c r="E21" s="40"/>
      <c r="F21" s="40"/>
      <c r="G21" s="40"/>
      <c r="H21" s="40"/>
      <c r="I21" s="209"/>
      <c r="J21" s="210"/>
      <c r="K21" s="211"/>
      <c r="L21" s="211"/>
      <c r="M21" s="211"/>
      <c r="N21" s="211"/>
      <c r="O21" s="211"/>
      <c r="P21" s="211"/>
      <c r="Q21" s="211"/>
      <c r="R21" s="211"/>
      <c r="S21" s="217" t="s">
        <v>154</v>
      </c>
      <c r="T21" s="218">
        <f>SUM(M9,M17,M25,M34)</f>
        <v>0</v>
      </c>
      <c r="U21" s="219">
        <f>SUM(O9,O17,O25,O34)</f>
        <v>0</v>
      </c>
      <c r="V21" s="211"/>
      <c r="W21" s="212"/>
    </row>
    <row r="22" spans="1:24" ht="15" thickBot="1" x14ac:dyDescent="0.4">
      <c r="A22" s="543" t="s">
        <v>163</v>
      </c>
      <c r="B22" s="465"/>
      <c r="C22" s="465"/>
      <c r="D22" s="465"/>
      <c r="E22" s="465"/>
      <c r="F22" s="465"/>
      <c r="G22" s="465"/>
      <c r="H22" s="466"/>
      <c r="I22" s="209"/>
      <c r="J22" s="210"/>
      <c r="K22" s="211"/>
      <c r="L22" s="211"/>
      <c r="M22" s="211"/>
      <c r="N22" s="211"/>
      <c r="O22" s="211"/>
      <c r="P22" s="211"/>
      <c r="Q22" s="211"/>
      <c r="R22" s="211"/>
      <c r="S22" s="220" t="s">
        <v>155</v>
      </c>
      <c r="T22" s="221">
        <f>SUM(M35,M26,M18,M10)</f>
        <v>0</v>
      </c>
      <c r="U22" s="222">
        <f>SUM(O10,O18,O26,O35)</f>
        <v>0</v>
      </c>
      <c r="V22" s="211"/>
      <c r="W22" s="212"/>
    </row>
    <row r="23" spans="1:24" ht="15" thickBot="1" x14ac:dyDescent="0.4">
      <c r="A23" s="433" t="s">
        <v>152</v>
      </c>
      <c r="B23" s="434"/>
      <c r="C23" s="434"/>
      <c r="D23" s="434"/>
      <c r="E23" s="434"/>
      <c r="F23" s="434"/>
      <c r="G23" s="434"/>
      <c r="H23" s="539"/>
      <c r="I23" s="209"/>
      <c r="J23" s="210"/>
      <c r="K23" s="211"/>
      <c r="L23" s="211"/>
      <c r="M23" s="211"/>
      <c r="N23" s="211"/>
      <c r="O23" s="211"/>
      <c r="P23" s="211"/>
      <c r="Q23" s="211"/>
      <c r="R23" s="211"/>
      <c r="S23" s="211"/>
      <c r="T23" s="211"/>
      <c r="U23" s="211"/>
      <c r="V23" s="211"/>
      <c r="W23" s="212"/>
    </row>
    <row r="24" spans="1:24" ht="15.5" thickTop="1" thickBot="1" x14ac:dyDescent="0.4">
      <c r="A24" s="544" t="s">
        <v>164</v>
      </c>
      <c r="B24" s="545"/>
      <c r="C24" s="545"/>
      <c r="D24" s="545"/>
      <c r="E24" s="545" t="s">
        <v>165</v>
      </c>
      <c r="F24" s="545"/>
      <c r="G24" s="545"/>
      <c r="H24" s="546"/>
      <c r="I24" s="209"/>
      <c r="J24" s="210"/>
      <c r="K24" s="530" t="s">
        <v>166</v>
      </c>
      <c r="L24" s="531"/>
      <c r="M24" s="531" t="s">
        <v>17</v>
      </c>
      <c r="N24" s="531"/>
      <c r="O24" s="531" t="s">
        <v>63</v>
      </c>
      <c r="P24" s="549"/>
      <c r="Q24" s="211"/>
      <c r="R24" s="211"/>
      <c r="S24" s="211"/>
      <c r="T24" s="211"/>
      <c r="U24" s="211"/>
      <c r="V24" s="211"/>
      <c r="W24" s="212"/>
    </row>
    <row r="25" spans="1:24" ht="15" thickBot="1" x14ac:dyDescent="0.4">
      <c r="A25" s="510"/>
      <c r="B25" s="511"/>
      <c r="C25" s="511"/>
      <c r="D25" s="512"/>
      <c r="E25" s="513"/>
      <c r="F25" s="511"/>
      <c r="G25" s="511"/>
      <c r="H25" s="512"/>
      <c r="I25" s="209"/>
      <c r="J25" s="210"/>
      <c r="K25" s="550" t="s">
        <v>154</v>
      </c>
      <c r="L25" s="547"/>
      <c r="M25" s="547" t="str">
        <f>IF(AND(E25&lt;15),"&lt;15 Students",IF(AND(A29&gt;=0,A29&lt;0.4),0,IF(AND(A29&gt;=0.4,A29&lt;0.5),4,IF(AND(A29&gt;=0.5,A29&lt;0.6),8,IF(AND(A29&gt;=0.6,A29&lt;0.7),12,IF(AND(A29&gt;=0.7,A29&lt;0.8),16,(IF(AND(A29&gt;=0.8),20,"Error"))))))))</f>
        <v>&lt;15 Students</v>
      </c>
      <c r="N25" s="547"/>
      <c r="O25" s="547">
        <f>IF(E25&lt;15,0,20)</f>
        <v>0</v>
      </c>
      <c r="P25" s="555"/>
      <c r="Q25" s="211"/>
      <c r="R25" s="211"/>
      <c r="S25" s="211"/>
      <c r="T25" s="211"/>
      <c r="U25" s="211"/>
      <c r="V25" s="211"/>
      <c r="W25" s="212"/>
    </row>
    <row r="26" spans="1:24" ht="15.5" thickTop="1" thickBot="1" x14ac:dyDescent="0.4">
      <c r="A26" s="433" t="s">
        <v>277</v>
      </c>
      <c r="B26" s="434"/>
      <c r="C26" s="434" t="s">
        <v>278</v>
      </c>
      <c r="D26" s="518"/>
      <c r="E26" s="517" t="s">
        <v>279</v>
      </c>
      <c r="F26" s="434"/>
      <c r="G26" s="434" t="s">
        <v>280</v>
      </c>
      <c r="H26" s="518"/>
      <c r="I26" s="209"/>
      <c r="J26" s="210"/>
      <c r="K26" s="554" t="s">
        <v>155</v>
      </c>
      <c r="L26" s="548"/>
      <c r="M26" s="548" t="str">
        <f>IF(AND(A27&lt;15),"&lt;15 Students",IF(AND(E29&gt;=0,E29&lt;0.4),0,IF(AND(E29&gt;=0.4,E29&lt;0.5),2,IF(AND(E29&gt;=0.5,E29&lt;0.6),4,IF(AND(E29&gt;=0.6,E29&lt;0.7),6,IF(AND(E29&gt;=0.7,E29&lt;0.8),8,IF(AND(E29&gt;=0.8),10,"Error")))))))</f>
        <v>&lt;15 Students</v>
      </c>
      <c r="N26" s="548"/>
      <c r="O26" s="548">
        <f>IF(E25&lt;15,0,10)</f>
        <v>0</v>
      </c>
      <c r="P26" s="556"/>
      <c r="Q26" s="211"/>
      <c r="R26" s="211"/>
      <c r="S26" s="211"/>
      <c r="T26" s="211"/>
      <c r="U26" s="211"/>
      <c r="V26" s="211"/>
      <c r="W26" s="212"/>
    </row>
    <row r="27" spans="1:24" ht="15.5" thickTop="1" thickBot="1" x14ac:dyDescent="0.4">
      <c r="A27" s="503"/>
      <c r="B27" s="504"/>
      <c r="C27" s="505"/>
      <c r="D27" s="504"/>
      <c r="E27" s="505"/>
      <c r="F27" s="504"/>
      <c r="G27" s="509"/>
      <c r="H27" s="504"/>
      <c r="I27" s="209"/>
      <c r="J27" s="210"/>
      <c r="K27" s="211"/>
      <c r="L27" s="211"/>
      <c r="M27" s="211"/>
      <c r="N27" s="211"/>
      <c r="O27" s="211"/>
      <c r="P27" s="211"/>
      <c r="Q27" s="211"/>
      <c r="R27" s="211"/>
      <c r="S27" s="211"/>
      <c r="T27" s="211"/>
      <c r="U27" s="211"/>
      <c r="V27" s="211"/>
      <c r="W27" s="212"/>
    </row>
    <row r="28" spans="1:24" ht="15" thickTop="1" x14ac:dyDescent="0.35">
      <c r="A28" s="433" t="s">
        <v>167</v>
      </c>
      <c r="B28" s="434"/>
      <c r="C28" s="434"/>
      <c r="D28" s="518"/>
      <c r="E28" s="517" t="s">
        <v>167</v>
      </c>
      <c r="F28" s="434"/>
      <c r="G28" s="434"/>
      <c r="H28" s="518"/>
      <c r="I28" s="209"/>
      <c r="J28" s="210"/>
      <c r="K28" s="211"/>
      <c r="L28" s="211"/>
      <c r="M28" s="211"/>
      <c r="N28" s="211"/>
      <c r="O28" s="211"/>
      <c r="P28" s="211"/>
      <c r="Q28" s="211"/>
      <c r="R28" s="211"/>
      <c r="S28" s="211"/>
      <c r="T28" s="211"/>
      <c r="U28" s="211"/>
      <c r="V28" s="211"/>
      <c r="W28" s="212"/>
    </row>
    <row r="29" spans="1:24" ht="15" thickBot="1" x14ac:dyDescent="0.4">
      <c r="A29" s="558" t="e">
        <f>(A27/C27)/(A25/E25)</f>
        <v>#DIV/0!</v>
      </c>
      <c r="B29" s="559"/>
      <c r="C29" s="559"/>
      <c r="D29" s="560"/>
      <c r="E29" s="561" t="e">
        <f>(E27/G27)/(A25/E25)</f>
        <v>#DIV/0!</v>
      </c>
      <c r="F29" s="559"/>
      <c r="G29" s="559"/>
      <c r="H29" s="560"/>
      <c r="I29" s="209"/>
      <c r="J29" s="210"/>
      <c r="K29" s="211"/>
      <c r="L29" s="211"/>
      <c r="M29" s="211"/>
      <c r="N29" s="211"/>
      <c r="O29" s="211"/>
      <c r="P29" s="211"/>
      <c r="Q29" s="211"/>
      <c r="R29" s="211"/>
      <c r="S29" s="211"/>
      <c r="T29" s="211"/>
      <c r="U29" s="211"/>
      <c r="V29" s="211"/>
      <c r="W29" s="212"/>
    </row>
    <row r="30" spans="1:24" ht="15.5" thickTop="1" thickBot="1" x14ac:dyDescent="0.4">
      <c r="A30" s="208"/>
      <c r="B30" s="40"/>
      <c r="C30" s="40"/>
      <c r="D30" s="40"/>
      <c r="E30" s="40"/>
      <c r="F30" s="40"/>
      <c r="G30" s="40"/>
      <c r="H30" s="40"/>
      <c r="I30" s="209"/>
      <c r="J30" s="210"/>
      <c r="K30" s="211"/>
      <c r="L30" s="211"/>
      <c r="M30" s="211"/>
      <c r="N30" s="211"/>
      <c r="O30" s="211"/>
      <c r="P30" s="211"/>
      <c r="Q30" s="211"/>
      <c r="R30" s="211"/>
      <c r="S30" s="211"/>
      <c r="T30" s="211"/>
      <c r="U30" s="211"/>
      <c r="V30" s="211"/>
      <c r="W30" s="212"/>
    </row>
    <row r="31" spans="1:24" ht="15.5" thickTop="1" thickBot="1" x14ac:dyDescent="0.4">
      <c r="A31" s="543" t="s">
        <v>168</v>
      </c>
      <c r="B31" s="465"/>
      <c r="C31" s="465"/>
      <c r="D31" s="465"/>
      <c r="E31" s="465"/>
      <c r="F31" s="465"/>
      <c r="G31" s="465"/>
      <c r="H31" s="466"/>
      <c r="I31" s="209"/>
      <c r="J31" s="210"/>
      <c r="K31" s="211"/>
      <c r="L31" s="211"/>
      <c r="M31" s="211"/>
      <c r="N31" s="211"/>
      <c r="O31" s="211"/>
      <c r="P31" s="211"/>
      <c r="Q31" s="211"/>
      <c r="R31" s="211"/>
      <c r="S31" s="223" t="s">
        <v>161</v>
      </c>
      <c r="T31" s="224" t="s">
        <v>162</v>
      </c>
      <c r="U31" s="224" t="s">
        <v>169</v>
      </c>
      <c r="V31" s="225" t="s">
        <v>170</v>
      </c>
      <c r="W31" s="212"/>
      <c r="X31" s="226"/>
    </row>
    <row r="32" spans="1:24" ht="15.5" thickTop="1" thickBot="1" x14ac:dyDescent="0.4">
      <c r="A32" s="525" t="s">
        <v>152</v>
      </c>
      <c r="B32" s="526"/>
      <c r="C32" s="526"/>
      <c r="D32" s="526"/>
      <c r="E32" s="526"/>
      <c r="F32" s="526"/>
      <c r="G32" s="526"/>
      <c r="H32" s="527"/>
      <c r="I32" s="209"/>
      <c r="J32" s="210"/>
      <c r="K32" s="211"/>
      <c r="L32" s="211"/>
      <c r="M32" s="211"/>
      <c r="N32" s="211"/>
      <c r="O32" s="211"/>
      <c r="P32" s="211"/>
      <c r="Q32" s="211"/>
      <c r="R32" s="211"/>
      <c r="S32" s="227">
        <f>SUM(T21:T22)</f>
        <v>0</v>
      </c>
      <c r="T32" s="227">
        <f>SUM(U21:U22)</f>
        <v>0</v>
      </c>
      <c r="U32" s="228" t="e">
        <f>S32/T32</f>
        <v>#DIV/0!</v>
      </c>
      <c r="V32" s="227" t="e">
        <f>IF(AND(U35="2021-2022",U32&gt;=60%),"Met",IF(AND(U35="2022-2023",U32&gt;=70%),"Met",IF(AND(U35="2023-2024",U32&gt;=80%),"Met","Not Met")))</f>
        <v>#DIV/0!</v>
      </c>
      <c r="W32" s="212"/>
    </row>
    <row r="33" spans="1:23" ht="15" thickBot="1" x14ac:dyDescent="0.4">
      <c r="A33" s="433" t="s">
        <v>171</v>
      </c>
      <c r="B33" s="434"/>
      <c r="C33" s="434"/>
      <c r="D33" s="518"/>
      <c r="E33" s="517" t="s">
        <v>165</v>
      </c>
      <c r="F33" s="434"/>
      <c r="G33" s="434"/>
      <c r="H33" s="518"/>
      <c r="I33" s="209"/>
      <c r="J33" s="210"/>
      <c r="K33" s="530" t="s">
        <v>172</v>
      </c>
      <c r="L33" s="531"/>
      <c r="M33" s="531" t="s">
        <v>17</v>
      </c>
      <c r="N33" s="531"/>
      <c r="O33" s="531" t="s">
        <v>63</v>
      </c>
      <c r="P33" s="549"/>
      <c r="Q33" s="211"/>
      <c r="R33" s="211"/>
      <c r="S33" s="211"/>
      <c r="T33" s="211"/>
      <c r="U33" s="211"/>
      <c r="V33" s="211"/>
      <c r="W33" s="212"/>
    </row>
    <row r="34" spans="1:23" ht="15.5" thickTop="1" thickBot="1" x14ac:dyDescent="0.4">
      <c r="A34" s="503"/>
      <c r="B34" s="509"/>
      <c r="C34" s="509"/>
      <c r="D34" s="523"/>
      <c r="E34" s="524"/>
      <c r="F34" s="509"/>
      <c r="G34" s="509"/>
      <c r="H34" s="523"/>
      <c r="I34" s="209"/>
      <c r="J34" s="210"/>
      <c r="K34" s="550" t="s">
        <v>154</v>
      </c>
      <c r="L34" s="547"/>
      <c r="M34" s="547" t="str">
        <f>IF(AND(E34&lt;15),"&lt;15 Students",IF(AND(A38&gt;=0,A38&lt;0.4),0,IF(AND(A38&gt;=0.4,A38&lt;0.5),4,IF(AND(A38&gt;=0.5,A38&lt;0.6),8,IF(AND(A38&gt;=0.6,A38&lt;0.7),12,IF(AND(A38&gt;=0.7,A38&lt;0.8),16,(IF(AND(A38&gt;=0.8),20,"Error"))))))))</f>
        <v>&lt;15 Students</v>
      </c>
      <c r="N34" s="547"/>
      <c r="O34" s="547">
        <f>IF(E34&lt;15,0,20)</f>
        <v>0</v>
      </c>
      <c r="P34" s="555"/>
      <c r="Q34" s="211"/>
      <c r="R34" s="211"/>
      <c r="S34" s="211"/>
      <c r="T34" s="211"/>
      <c r="U34" s="211"/>
      <c r="V34" s="211"/>
      <c r="W34" s="212"/>
    </row>
    <row r="35" spans="1:23" ht="15.5" thickTop="1" thickBot="1" x14ac:dyDescent="0.4">
      <c r="A35" s="433" t="s">
        <v>281</v>
      </c>
      <c r="B35" s="434"/>
      <c r="C35" s="434" t="s">
        <v>278</v>
      </c>
      <c r="D35" s="518"/>
      <c r="E35" s="517" t="s">
        <v>282</v>
      </c>
      <c r="F35" s="434"/>
      <c r="G35" s="434" t="s">
        <v>280</v>
      </c>
      <c r="H35" s="518"/>
      <c r="I35" s="209"/>
      <c r="J35" s="210"/>
      <c r="K35" s="554" t="s">
        <v>155</v>
      </c>
      <c r="L35" s="548"/>
      <c r="M35" s="548" t="str">
        <f>IF(AND(A36&lt;15),"&lt;15 Students",IF(AND(E38&gt;=0,E38&lt;0.4),0,IF(AND(E38&gt;=0.4,E38&lt;0.5),2,IF(AND(E38&gt;=0.5,E38&lt;0.6),4,IF(AND(E38&gt;=0.6,E38&lt;0.7),6,IF(AND(E38&gt;=0.7,E38&lt;0.8),8,IF(AND(E38&gt;=0.8),10,"Error")))))))</f>
        <v>&lt;15 Students</v>
      </c>
      <c r="N35" s="548"/>
      <c r="O35" s="548">
        <f>IF(E34&lt;15,0,10)</f>
        <v>0</v>
      </c>
      <c r="P35" s="556"/>
      <c r="Q35" s="211"/>
      <c r="R35" s="211"/>
      <c r="S35" s="211"/>
      <c r="T35" s="401" t="s">
        <v>173</v>
      </c>
      <c r="U35" s="229" t="s">
        <v>273</v>
      </c>
      <c r="V35" s="211"/>
      <c r="W35" s="212"/>
    </row>
    <row r="36" spans="1:23" ht="15.5" thickTop="1" thickBot="1" x14ac:dyDescent="0.4">
      <c r="A36" s="503"/>
      <c r="B36" s="504"/>
      <c r="C36" s="505"/>
      <c r="D36" s="523"/>
      <c r="E36" s="524"/>
      <c r="F36" s="504"/>
      <c r="G36" s="505"/>
      <c r="H36" s="523"/>
      <c r="I36" s="209"/>
      <c r="J36" s="210"/>
      <c r="K36" s="211"/>
      <c r="L36" s="211"/>
      <c r="M36" s="211"/>
      <c r="N36" s="211"/>
      <c r="O36" s="211"/>
      <c r="P36" s="211"/>
      <c r="Q36" s="211"/>
      <c r="R36" s="211"/>
      <c r="S36" s="211"/>
      <c r="T36" s="211"/>
      <c r="U36" s="211"/>
      <c r="V36" s="211"/>
      <c r="W36" s="212"/>
    </row>
    <row r="37" spans="1:23" ht="15" thickTop="1" x14ac:dyDescent="0.35">
      <c r="A37" s="514" t="s">
        <v>167</v>
      </c>
      <c r="B37" s="515"/>
      <c r="C37" s="515"/>
      <c r="D37" s="516"/>
      <c r="E37" s="517" t="s">
        <v>167</v>
      </c>
      <c r="F37" s="434"/>
      <c r="G37" s="434"/>
      <c r="H37" s="518"/>
      <c r="I37" s="209"/>
      <c r="J37" s="210"/>
      <c r="K37" s="211"/>
      <c r="L37" s="211"/>
      <c r="M37" s="211"/>
      <c r="N37" s="211"/>
      <c r="O37" s="211"/>
      <c r="P37" s="211"/>
      <c r="Q37" s="211"/>
      <c r="R37" s="211"/>
      <c r="S37" s="211"/>
      <c r="T37" s="211"/>
      <c r="U37" s="211"/>
      <c r="V37" s="211"/>
      <c r="W37" s="212"/>
    </row>
    <row r="38" spans="1:23" x14ac:dyDescent="0.35">
      <c r="A38" s="519" t="e">
        <f>(A36/C36)/(A34/E34)</f>
        <v>#DIV/0!</v>
      </c>
      <c r="B38" s="520"/>
      <c r="C38" s="520"/>
      <c r="D38" s="521"/>
      <c r="E38" s="522" t="e">
        <f>(E36/G36)/(A34/E34)</f>
        <v>#DIV/0!</v>
      </c>
      <c r="F38" s="520"/>
      <c r="G38" s="520"/>
      <c r="H38" s="521"/>
      <c r="I38" s="230"/>
      <c r="J38" s="231"/>
      <c r="K38" s="232"/>
      <c r="L38" s="232"/>
      <c r="M38" s="232"/>
      <c r="N38" s="232"/>
      <c r="O38" s="232"/>
      <c r="P38" s="232"/>
      <c r="Q38" s="232"/>
      <c r="R38" s="232"/>
      <c r="S38" s="232"/>
      <c r="T38" s="232"/>
      <c r="U38" s="232"/>
      <c r="V38" s="232"/>
      <c r="W38" s="233"/>
    </row>
    <row r="40" spans="1:23" x14ac:dyDescent="0.35">
      <c r="A40" s="557" t="s">
        <v>42</v>
      </c>
      <c r="B40" s="557"/>
    </row>
    <row r="41" spans="1:23" x14ac:dyDescent="0.35">
      <c r="A41" s="172" t="s">
        <v>43</v>
      </c>
    </row>
  </sheetData>
  <sheetProtection sheet="1" objects="1" scenarios="1"/>
  <mergeCells count="107">
    <mergeCell ref="K34:L34"/>
    <mergeCell ref="K35:L35"/>
    <mergeCell ref="M34:N34"/>
    <mergeCell ref="M35:N35"/>
    <mergeCell ref="O34:P34"/>
    <mergeCell ref="O35:P35"/>
    <mergeCell ref="A40:B40"/>
    <mergeCell ref="O24:P24"/>
    <mergeCell ref="K25:L25"/>
    <mergeCell ref="K26:L26"/>
    <mergeCell ref="M25:N25"/>
    <mergeCell ref="M26:N26"/>
    <mergeCell ref="O25:P25"/>
    <mergeCell ref="O26:P26"/>
    <mergeCell ref="K33:L33"/>
    <mergeCell ref="M33:N33"/>
    <mergeCell ref="O33:P33"/>
    <mergeCell ref="A34:D34"/>
    <mergeCell ref="E34:H34"/>
    <mergeCell ref="A28:D28"/>
    <mergeCell ref="E28:H28"/>
    <mergeCell ref="A29:D29"/>
    <mergeCell ref="E29:H29"/>
    <mergeCell ref="A31:H31"/>
    <mergeCell ref="O16:P16"/>
    <mergeCell ref="K17:L17"/>
    <mergeCell ref="K18:L18"/>
    <mergeCell ref="O17:P17"/>
    <mergeCell ref="O18:P18"/>
    <mergeCell ref="K10:L10"/>
    <mergeCell ref="O9:P9"/>
    <mergeCell ref="O10:P10"/>
    <mergeCell ref="M17:N17"/>
    <mergeCell ref="M18:N18"/>
    <mergeCell ref="E11:F11"/>
    <mergeCell ref="G11:H11"/>
    <mergeCell ref="M9:N9"/>
    <mergeCell ref="M10:N10"/>
    <mergeCell ref="J5:W5"/>
    <mergeCell ref="K8:L8"/>
    <mergeCell ref="M8:N8"/>
    <mergeCell ref="O8:P8"/>
    <mergeCell ref="K9:L9"/>
    <mergeCell ref="A8:H8"/>
    <mergeCell ref="A7:H7"/>
    <mergeCell ref="A9:B9"/>
    <mergeCell ref="C9:D9"/>
    <mergeCell ref="E9:F9"/>
    <mergeCell ref="G9:H9"/>
    <mergeCell ref="K24:L24"/>
    <mergeCell ref="M24:N24"/>
    <mergeCell ref="A14:H15"/>
    <mergeCell ref="A12:D12"/>
    <mergeCell ref="E12:H12"/>
    <mergeCell ref="A18:B18"/>
    <mergeCell ref="C18:D18"/>
    <mergeCell ref="E18:F18"/>
    <mergeCell ref="G18:H18"/>
    <mergeCell ref="A19:B19"/>
    <mergeCell ref="C19:D19"/>
    <mergeCell ref="E19:F19"/>
    <mergeCell ref="A16:H16"/>
    <mergeCell ref="A17:B17"/>
    <mergeCell ref="C17:D17"/>
    <mergeCell ref="E17:F17"/>
    <mergeCell ref="G17:H17"/>
    <mergeCell ref="K16:L16"/>
    <mergeCell ref="M16:N16"/>
    <mergeCell ref="A22:H22"/>
    <mergeCell ref="A23:H23"/>
    <mergeCell ref="A24:D24"/>
    <mergeCell ref="E24:H24"/>
    <mergeCell ref="G19:H19"/>
    <mergeCell ref="A38:D38"/>
    <mergeCell ref="E38:H38"/>
    <mergeCell ref="A5:I5"/>
    <mergeCell ref="A35:B35"/>
    <mergeCell ref="C35:D35"/>
    <mergeCell ref="E35:F35"/>
    <mergeCell ref="G35:H35"/>
    <mergeCell ref="A36:B36"/>
    <mergeCell ref="C36:D36"/>
    <mergeCell ref="E36:F36"/>
    <mergeCell ref="G36:H36"/>
    <mergeCell ref="A32:H32"/>
    <mergeCell ref="A33:D33"/>
    <mergeCell ref="E33:H33"/>
    <mergeCell ref="A26:B26"/>
    <mergeCell ref="C26:D26"/>
    <mergeCell ref="E26:F26"/>
    <mergeCell ref="G26:H26"/>
    <mergeCell ref="A10:B10"/>
    <mergeCell ref="C10:D10"/>
    <mergeCell ref="E10:F10"/>
    <mergeCell ref="G10:H10"/>
    <mergeCell ref="A11:B11"/>
    <mergeCell ref="C11:D11"/>
    <mergeCell ref="A27:B27"/>
    <mergeCell ref="C27:D27"/>
    <mergeCell ref="A20:D20"/>
    <mergeCell ref="E20:H20"/>
    <mergeCell ref="E27:F27"/>
    <mergeCell ref="G27:H27"/>
    <mergeCell ref="A25:D25"/>
    <mergeCell ref="E25:H25"/>
    <mergeCell ref="A37:D37"/>
    <mergeCell ref="E37:H37"/>
  </mergeCells>
  <dataValidations count="1">
    <dataValidation type="list" allowBlank="1" showInputMessage="1" showErrorMessage="1" sqref="U35" xr:uid="{B422F1BB-C203-40C3-9343-CFB4B712DF48}">
      <formula1>"2021-2022,2022-2023,2023-2024"</formula1>
    </dataValidation>
  </dataValidations>
  <hyperlinks>
    <hyperlink ref="A40:B40" r:id="rId1" display="Technical Document" xr:uid="{EF12AB1F-7D36-4809-8CBE-55F00759329E}"/>
    <hyperlink ref="A41" r:id="rId2" xr:uid="{E6799FB1-5838-4041-B2B3-1CEF098BBAD4}"/>
  </hyperlinks>
  <pageMargins left="0.7" right="0.7" top="0.75" bottom="0.75" header="0.3" footer="0.3"/>
  <pageSetup orientation="portrait" horizontalDpi="1200" verticalDpi="12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30AD-F51D-44EC-85DE-1165775478F8}">
  <dimension ref="A1:U48"/>
  <sheetViews>
    <sheetView topLeftCell="F14" zoomScaleNormal="100" workbookViewId="0">
      <selection activeCell="R37" sqref="R37"/>
    </sheetView>
  </sheetViews>
  <sheetFormatPr defaultColWidth="9.1796875" defaultRowHeight="14.5" x14ac:dyDescent="0.35"/>
  <cols>
    <col min="1" max="8" width="25.7265625" style="2" customWidth="1"/>
    <col min="9" max="9" width="2.26953125" style="2" customWidth="1"/>
    <col min="10" max="10" width="4.7265625" style="2" customWidth="1"/>
    <col min="11" max="11" width="27.26953125" style="2" bestFit="1" customWidth="1"/>
    <col min="12" max="13" width="15.26953125" style="2" bestFit="1" customWidth="1"/>
    <col min="14" max="15" width="9.1796875" style="2"/>
    <col min="16" max="16" width="16.7265625" style="2" bestFit="1" customWidth="1"/>
    <col min="17" max="17" width="18.81640625" style="2" bestFit="1" customWidth="1"/>
    <col min="18" max="18" width="18" style="2" bestFit="1" customWidth="1"/>
    <col min="19" max="19" width="25.1796875" style="2" bestFit="1" customWidth="1"/>
    <col min="20" max="16384" width="9.1796875" style="2"/>
  </cols>
  <sheetData>
    <row r="1" spans="1:21" x14ac:dyDescent="0.35">
      <c r="A1" s="1" t="s">
        <v>7</v>
      </c>
      <c r="B1" s="3"/>
      <c r="C1" s="3"/>
      <c r="D1" s="3"/>
      <c r="E1" s="3"/>
      <c r="F1" s="3"/>
      <c r="H1" s="174"/>
    </row>
    <row r="2" spans="1:21" x14ac:dyDescent="0.35">
      <c r="A2" s="2" t="s">
        <v>148</v>
      </c>
      <c r="B2" s="3"/>
      <c r="C2" s="3"/>
      <c r="D2" s="3"/>
      <c r="E2" s="3"/>
      <c r="F2" s="3"/>
      <c r="H2" s="174"/>
    </row>
    <row r="3" spans="1:21" x14ac:dyDescent="0.35">
      <c r="A3" s="2" t="s">
        <v>149</v>
      </c>
      <c r="B3" s="3"/>
      <c r="C3" s="3"/>
      <c r="D3" s="3"/>
      <c r="E3" s="3"/>
      <c r="F3" s="3"/>
      <c r="H3" s="174"/>
    </row>
    <row r="5" spans="1:21" ht="31" x14ac:dyDescent="0.7">
      <c r="A5" s="582" t="s">
        <v>174</v>
      </c>
      <c r="B5" s="583"/>
      <c r="C5" s="583"/>
      <c r="D5" s="583"/>
      <c r="E5" s="583"/>
      <c r="F5" s="583"/>
      <c r="G5" s="583"/>
      <c r="H5" s="583"/>
      <c r="I5" s="234"/>
      <c r="J5" s="584" t="s">
        <v>59</v>
      </c>
      <c r="K5" s="585"/>
      <c r="L5" s="585"/>
      <c r="M5" s="585"/>
      <c r="N5" s="585"/>
      <c r="O5" s="585"/>
      <c r="P5" s="585"/>
      <c r="Q5" s="585"/>
      <c r="R5" s="585"/>
      <c r="S5" s="585"/>
      <c r="T5" s="585"/>
      <c r="U5" s="586"/>
    </row>
    <row r="6" spans="1:21" ht="15" thickBot="1" x14ac:dyDescent="0.4">
      <c r="A6" s="412"/>
      <c r="B6" s="413"/>
      <c r="C6" s="413"/>
      <c r="D6" s="413"/>
      <c r="E6" s="413"/>
      <c r="F6" s="413"/>
      <c r="G6" s="413"/>
      <c r="H6" s="413"/>
      <c r="I6" s="235"/>
      <c r="J6" s="210"/>
      <c r="K6" s="211"/>
      <c r="L6" s="211"/>
      <c r="M6" s="211"/>
      <c r="N6" s="211"/>
      <c r="O6" s="211"/>
      <c r="P6" s="211"/>
      <c r="Q6" s="211"/>
      <c r="R6" s="211"/>
      <c r="S6" s="211"/>
      <c r="T6" s="211"/>
      <c r="U6" s="212"/>
    </row>
    <row r="7" spans="1:21" ht="15" thickBot="1" x14ac:dyDescent="0.4">
      <c r="A7" s="592" t="s">
        <v>175</v>
      </c>
      <c r="B7" s="593"/>
      <c r="C7" s="593"/>
      <c r="D7" s="593"/>
      <c r="E7" s="593"/>
      <c r="F7" s="593"/>
      <c r="G7" s="593"/>
      <c r="H7" s="594"/>
      <c r="I7" s="235"/>
      <c r="J7" s="210"/>
      <c r="K7" s="211"/>
      <c r="L7" s="211"/>
      <c r="M7" s="211"/>
      <c r="N7" s="211"/>
      <c r="O7" s="211"/>
      <c r="P7" s="211"/>
      <c r="Q7" s="211"/>
      <c r="R7" s="211"/>
      <c r="S7" s="211"/>
      <c r="T7" s="211"/>
      <c r="U7" s="212"/>
    </row>
    <row r="8" spans="1:21" ht="15" thickTop="1" x14ac:dyDescent="0.35">
      <c r="A8" s="577" t="s">
        <v>176</v>
      </c>
      <c r="B8" s="578"/>
      <c r="C8" s="579" t="s">
        <v>177</v>
      </c>
      <c r="D8" s="578"/>
      <c r="E8" s="579" t="s">
        <v>178</v>
      </c>
      <c r="F8" s="578"/>
      <c r="G8" s="579" t="s">
        <v>179</v>
      </c>
      <c r="H8" s="578"/>
      <c r="I8" s="235"/>
      <c r="J8" s="210"/>
      <c r="K8" s="236" t="s">
        <v>153</v>
      </c>
      <c r="L8" s="237" t="s">
        <v>17</v>
      </c>
      <c r="M8" s="238" t="s">
        <v>63</v>
      </c>
      <c r="N8" s="211"/>
      <c r="O8" s="211"/>
      <c r="P8" s="211"/>
      <c r="Q8" s="211"/>
      <c r="R8" s="211"/>
      <c r="S8" s="211"/>
      <c r="T8" s="211"/>
      <c r="U8" s="212"/>
    </row>
    <row r="9" spans="1:21" ht="15" thickBot="1" x14ac:dyDescent="0.4">
      <c r="A9" s="412" t="s">
        <v>274</v>
      </c>
      <c r="B9" s="410" t="s">
        <v>275</v>
      </c>
      <c r="C9" s="412" t="s">
        <v>274</v>
      </c>
      <c r="D9" s="410" t="s">
        <v>275</v>
      </c>
      <c r="E9" s="412" t="s">
        <v>274</v>
      </c>
      <c r="F9" s="410" t="s">
        <v>275</v>
      </c>
      <c r="G9" s="412" t="s">
        <v>274</v>
      </c>
      <c r="H9" s="410" t="s">
        <v>275</v>
      </c>
      <c r="I9" s="235"/>
      <c r="J9" s="210"/>
      <c r="K9" s="239" t="s">
        <v>180</v>
      </c>
      <c r="L9" s="403" t="str">
        <f>IF(AND(B10&lt;15),"&lt;15 Students",IF(AND(A12&gt;=0.1%,A12&lt;1%),1,IF(AND(A12&gt;=1%,A12&lt;2%),5,IF(AND(A12&gt;=2%,A12&lt;5%),9,IF(AND(A12&gt;=5%,A12&lt;10%),12,IF(A12&gt;=10%,15,0))))))</f>
        <v>&lt;15 Students</v>
      </c>
      <c r="M9" s="240">
        <f>IF(B10&gt;=15,15,0)</f>
        <v>0</v>
      </c>
      <c r="N9" s="211"/>
      <c r="O9" s="211"/>
      <c r="P9" s="211"/>
      <c r="Q9" s="211"/>
      <c r="R9" s="211"/>
      <c r="S9" s="211"/>
      <c r="T9" s="211"/>
      <c r="U9" s="212"/>
    </row>
    <row r="10" spans="1:21" ht="15.5" thickTop="1" thickBot="1" x14ac:dyDescent="0.4">
      <c r="A10" s="241"/>
      <c r="B10" s="242"/>
      <c r="C10" s="242"/>
      <c r="D10" s="242"/>
      <c r="E10" s="242"/>
      <c r="F10" s="242"/>
      <c r="G10" s="242"/>
      <c r="H10" s="242"/>
      <c r="I10" s="235"/>
      <c r="J10" s="210"/>
      <c r="K10" s="239" t="s">
        <v>181</v>
      </c>
      <c r="L10" s="403" t="str">
        <f>IF(AND(D10&lt;15),"&lt;15 Students",IF(AND(C12&gt;=0.1%,C12&lt;3%),1,IF(AND(C12&gt;=3%,C12&lt;5%),2,IF(AND(C12&gt;=5%,C12&lt;10%),3,IF(AND(C12&gt;=10%,C12&lt;15%),4,IF(C12&gt;=15%,5,0))))))</f>
        <v>&lt;15 Students</v>
      </c>
      <c r="M10" s="240">
        <f>IF(D10&gt;=15,5,0)</f>
        <v>0</v>
      </c>
      <c r="N10" s="211"/>
      <c r="O10" s="211"/>
      <c r="P10" s="211"/>
      <c r="Q10" s="211"/>
      <c r="R10" s="211"/>
      <c r="S10" s="211"/>
      <c r="T10" s="211"/>
      <c r="U10" s="212"/>
    </row>
    <row r="11" spans="1:21" ht="15" thickTop="1" x14ac:dyDescent="0.35">
      <c r="A11" s="573" t="s">
        <v>156</v>
      </c>
      <c r="B11" s="574"/>
      <c r="C11" s="580" t="s">
        <v>156</v>
      </c>
      <c r="D11" s="574"/>
      <c r="E11" s="580" t="s">
        <v>156</v>
      </c>
      <c r="F11" s="574"/>
      <c r="G11" s="580" t="s">
        <v>156</v>
      </c>
      <c r="H11" s="574"/>
      <c r="I11" s="235"/>
      <c r="J11" s="210"/>
      <c r="K11" s="239" t="s">
        <v>182</v>
      </c>
      <c r="L11" s="403" t="str">
        <f>IF(AND(F10&lt;15),"&lt;15 Students",IF(AND(E12&gt;=0.1%,E12&lt;3%),1,IF(AND(E12&gt;=3%,E12&lt;5%),2,IF(AND(E12&gt;=5%,E12&lt;10%),3,IF(AND(E12&gt;=10%,E12&lt;15%),4,IF(AND(E12&gt;=15%),5,0))))))</f>
        <v>&lt;15 Students</v>
      </c>
      <c r="M11" s="240">
        <f>IF(F10&gt;=15,5,0)</f>
        <v>0</v>
      </c>
      <c r="N11" s="211"/>
      <c r="O11" s="211"/>
      <c r="P11" s="211"/>
      <c r="Q11" s="211"/>
      <c r="R11" s="211"/>
      <c r="S11" s="211"/>
      <c r="T11" s="211"/>
      <c r="U11" s="212"/>
    </row>
    <row r="12" spans="1:21" ht="15" thickBot="1" x14ac:dyDescent="0.4">
      <c r="A12" s="575" t="e">
        <f>A10/B10</f>
        <v>#DIV/0!</v>
      </c>
      <c r="B12" s="576"/>
      <c r="C12" s="581" t="e">
        <f>C10/D10</f>
        <v>#DIV/0!</v>
      </c>
      <c r="D12" s="576"/>
      <c r="E12" s="581" t="e">
        <f>E10/F10</f>
        <v>#DIV/0!</v>
      </c>
      <c r="F12" s="576"/>
      <c r="G12" s="581" t="e">
        <f>G10/H10</f>
        <v>#DIV/0!</v>
      </c>
      <c r="H12" s="576"/>
      <c r="I12" s="235"/>
      <c r="J12" s="210"/>
      <c r="K12" s="243" t="s">
        <v>183</v>
      </c>
      <c r="L12" s="244" t="str">
        <f>IF(AND(H10&lt;15),"&lt;15 Students",IF(AND(G12&gt;=0.1%,G12&lt;3%),1,IF(AND(G12&gt;=3%,G12&lt;5%),2,IF(AND(G12&gt;=5%,G12&lt;10%),3,IF(AND(G12&gt;=10%,G12&lt;15%),4,IF(G12&gt;=15%,5,0))))))</f>
        <v>&lt;15 Students</v>
      </c>
      <c r="M12" s="245">
        <f>IF(H10&gt;=15,5,0)</f>
        <v>0</v>
      </c>
      <c r="N12" s="211"/>
      <c r="O12" s="211"/>
      <c r="P12" s="211"/>
      <c r="Q12" s="211"/>
      <c r="R12" s="211"/>
      <c r="S12" s="211"/>
      <c r="T12" s="211"/>
      <c r="U12" s="212"/>
    </row>
    <row r="13" spans="1:21" ht="15.5" thickTop="1" thickBot="1" x14ac:dyDescent="0.4">
      <c r="A13" s="592" t="s">
        <v>184</v>
      </c>
      <c r="B13" s="593"/>
      <c r="C13" s="593"/>
      <c r="D13" s="593"/>
      <c r="E13" s="593"/>
      <c r="F13" s="593"/>
      <c r="G13" s="593"/>
      <c r="H13" s="594"/>
      <c r="I13" s="235"/>
      <c r="J13" s="210"/>
      <c r="K13" s="246" t="s">
        <v>185</v>
      </c>
      <c r="L13" s="247" t="str">
        <f>IF(AND(B16&lt;15),"&lt;15 Students",IF(AND(A18&gt;=1%,A18&lt;10%),2,IF(AND(A18&gt;=10%,A18&lt;40%),4,IF(AND(A18&gt;=40%,A18&lt;60%),6,IF(AND(A18&gt;=60%,A18&lt;80%),8,IF(A18&gt;=80%,10,0))))))</f>
        <v>&lt;15 Students</v>
      </c>
      <c r="M13" s="248">
        <f>IF(B16&gt;=15,10,0)</f>
        <v>0</v>
      </c>
      <c r="N13" s="211"/>
      <c r="O13" s="211"/>
      <c r="P13" s="211"/>
      <c r="Q13" s="211"/>
      <c r="R13" s="211"/>
      <c r="S13" s="211"/>
      <c r="T13" s="211"/>
      <c r="U13" s="212"/>
    </row>
    <row r="14" spans="1:21" ht="15" thickTop="1" x14ac:dyDescent="0.35">
      <c r="A14" s="577" t="s">
        <v>176</v>
      </c>
      <c r="B14" s="578"/>
      <c r="C14" s="579" t="s">
        <v>177</v>
      </c>
      <c r="D14" s="578"/>
      <c r="E14" s="579" t="s">
        <v>178</v>
      </c>
      <c r="F14" s="578"/>
      <c r="G14" s="579" t="s">
        <v>179</v>
      </c>
      <c r="H14" s="578"/>
      <c r="I14" s="235"/>
      <c r="J14" s="210"/>
      <c r="K14" s="239" t="s">
        <v>186</v>
      </c>
      <c r="L14" s="403" t="str">
        <f>IF(AND(D16&lt;15),"&lt;15 Students",IF(AND(C18&gt;=1%,C18&lt;20%),2,IF(AND(C18&gt;=20%,C18&lt;40%),4,IF(AND(C18&gt;=40%,C18&lt;60%),6,IF(AND(C18&gt;=60%,C18&lt;80%),8,IF(C18&gt;=80%,10,0))))))</f>
        <v>&lt;15 Students</v>
      </c>
      <c r="M14" s="240">
        <f>IF(D16&gt;=15,10,0)</f>
        <v>0</v>
      </c>
      <c r="N14" s="211"/>
      <c r="O14" s="211"/>
      <c r="P14" s="211"/>
      <c r="Q14" s="211"/>
      <c r="R14" s="211"/>
      <c r="S14" s="211"/>
      <c r="T14" s="211"/>
      <c r="U14" s="212"/>
    </row>
    <row r="15" spans="1:21" ht="15" thickBot="1" x14ac:dyDescent="0.4">
      <c r="A15" s="412" t="s">
        <v>276</v>
      </c>
      <c r="B15" s="410" t="s">
        <v>274</v>
      </c>
      <c r="C15" s="412" t="s">
        <v>276</v>
      </c>
      <c r="D15" s="410" t="s">
        <v>274</v>
      </c>
      <c r="E15" s="412" t="s">
        <v>276</v>
      </c>
      <c r="F15" s="410" t="s">
        <v>274</v>
      </c>
      <c r="G15" s="412" t="s">
        <v>276</v>
      </c>
      <c r="H15" s="410" t="s">
        <v>274</v>
      </c>
      <c r="I15" s="235"/>
      <c r="J15" s="210"/>
      <c r="K15" s="239" t="s">
        <v>187</v>
      </c>
      <c r="L15" s="403" t="str">
        <f>IF(AND(F16&lt;15),"&lt;15 Students",IF(AND(E18&gt;=1%,E18&lt;20%),2,IF(AND(E18&gt;=20%,E18&lt;40%),4,IF(AND(E18&gt;=40%,E18&lt;60%),6,IF(AND(E18&gt;=60%,E18&lt;80%),8,IF(E18&gt;=80%,10,0))))))</f>
        <v>&lt;15 Students</v>
      </c>
      <c r="M15" s="240">
        <f>IF(F16&gt;=15,10,0)</f>
        <v>0</v>
      </c>
      <c r="N15" s="211"/>
      <c r="O15" s="211"/>
      <c r="P15" s="211"/>
      <c r="Q15" s="211"/>
      <c r="R15" s="211"/>
      <c r="S15" s="211"/>
      <c r="T15" s="211"/>
      <c r="U15" s="212"/>
    </row>
    <row r="16" spans="1:21" ht="15.5" thickTop="1" thickBot="1" x14ac:dyDescent="0.4">
      <c r="A16" s="414"/>
      <c r="B16" s="249">
        <f>A10</f>
        <v>0</v>
      </c>
      <c r="C16" s="250"/>
      <c r="D16" s="249">
        <f>C10</f>
        <v>0</v>
      </c>
      <c r="E16" s="250"/>
      <c r="F16" s="249">
        <f>E10</f>
        <v>0</v>
      </c>
      <c r="G16" s="250"/>
      <c r="H16" s="249">
        <f>G10</f>
        <v>0</v>
      </c>
      <c r="I16" s="235"/>
      <c r="J16" s="210"/>
      <c r="K16" s="243" t="s">
        <v>188</v>
      </c>
      <c r="L16" s="244" t="str">
        <f>IF(AND(H16&lt;15),"&lt;15 Students",IF(AND(G18&gt;=1%,G18&lt;20%),2,IF(AND(G18&gt;=20%,G18&lt;40%),4,IF(AND(G18&gt;=40%,G18&lt;60%),6,IF(AND(G18&gt;=60%,G18&lt;80%),8,IF(G18&gt;=80%,10,0))))))</f>
        <v>&lt;15 Students</v>
      </c>
      <c r="M16" s="245">
        <f>IF(H16&gt;=15,10,0)</f>
        <v>0</v>
      </c>
      <c r="N16" s="211"/>
      <c r="O16" s="211"/>
      <c r="P16" s="211"/>
      <c r="Q16" s="211"/>
      <c r="R16" s="211"/>
      <c r="S16" s="211"/>
      <c r="T16" s="211"/>
      <c r="U16" s="212"/>
    </row>
    <row r="17" spans="1:21" ht="15" thickTop="1" x14ac:dyDescent="0.35">
      <c r="A17" s="567" t="s">
        <v>157</v>
      </c>
      <c r="B17" s="568"/>
      <c r="C17" s="569" t="s">
        <v>157</v>
      </c>
      <c r="D17" s="568"/>
      <c r="E17" s="569" t="s">
        <v>157</v>
      </c>
      <c r="F17" s="568"/>
      <c r="G17" s="569" t="s">
        <v>157</v>
      </c>
      <c r="H17" s="568"/>
      <c r="I17" s="235"/>
      <c r="J17" s="210"/>
      <c r="K17" s="211"/>
      <c r="L17" s="211"/>
      <c r="M17" s="211"/>
      <c r="N17" s="211"/>
      <c r="O17" s="211"/>
      <c r="P17" s="211"/>
      <c r="Q17" s="211"/>
      <c r="R17" s="211"/>
      <c r="S17" s="211"/>
      <c r="T17" s="211"/>
      <c r="U17" s="212"/>
    </row>
    <row r="18" spans="1:21" ht="15" thickBot="1" x14ac:dyDescent="0.4">
      <c r="A18" s="575" t="e">
        <f>A16/B16</f>
        <v>#DIV/0!</v>
      </c>
      <c r="B18" s="576"/>
      <c r="C18" s="581" t="e">
        <f>C16/D16</f>
        <v>#DIV/0!</v>
      </c>
      <c r="D18" s="576"/>
      <c r="E18" s="581" t="e">
        <f>E16/F16</f>
        <v>#DIV/0!</v>
      </c>
      <c r="F18" s="576"/>
      <c r="G18" s="581" t="e">
        <f>G16/H16</f>
        <v>#DIV/0!</v>
      </c>
      <c r="H18" s="576"/>
      <c r="I18" s="235"/>
      <c r="J18" s="210"/>
      <c r="K18" s="211"/>
      <c r="L18" s="211"/>
      <c r="M18" s="211"/>
      <c r="N18" s="211"/>
      <c r="O18" s="211"/>
      <c r="P18" s="211"/>
      <c r="Q18" s="211"/>
      <c r="R18" s="211"/>
      <c r="S18" s="218"/>
      <c r="T18" s="211"/>
      <c r="U18" s="212"/>
    </row>
    <row r="19" spans="1:21" ht="15.5" thickTop="1" thickBot="1" x14ac:dyDescent="0.4">
      <c r="A19" s="251"/>
      <c r="B19" s="252"/>
      <c r="C19" s="252"/>
      <c r="D19" s="252"/>
      <c r="E19" s="252"/>
      <c r="F19" s="252"/>
      <c r="G19" s="252"/>
      <c r="H19" s="252"/>
      <c r="I19" s="253"/>
      <c r="J19" s="210"/>
      <c r="K19" s="211"/>
      <c r="L19" s="211"/>
      <c r="M19" s="211"/>
      <c r="N19" s="211"/>
      <c r="O19" s="211"/>
      <c r="P19" s="211"/>
      <c r="Q19" s="211"/>
      <c r="R19" s="211"/>
      <c r="S19" s="211"/>
      <c r="T19" s="211"/>
      <c r="U19" s="212"/>
    </row>
    <row r="20" spans="1:21" ht="15.75" customHeight="1" thickBot="1" x14ac:dyDescent="0.4">
      <c r="A20" s="595" t="s">
        <v>158</v>
      </c>
      <c r="B20" s="596"/>
      <c r="C20" s="596"/>
      <c r="D20" s="597"/>
      <c r="E20" s="252"/>
      <c r="F20" s="252"/>
      <c r="G20" s="252"/>
      <c r="H20" s="252"/>
      <c r="I20" s="253"/>
      <c r="J20" s="210"/>
      <c r="K20" s="236" t="s">
        <v>189</v>
      </c>
      <c r="L20" s="237" t="s">
        <v>17</v>
      </c>
      <c r="M20" s="238" t="s">
        <v>63</v>
      </c>
      <c r="N20" s="211"/>
      <c r="O20" s="211"/>
      <c r="P20" s="211"/>
      <c r="Q20" s="211"/>
      <c r="R20" s="211"/>
      <c r="S20" s="211"/>
      <c r="T20" s="211"/>
      <c r="U20" s="212"/>
    </row>
    <row r="21" spans="1:21" ht="15" thickBot="1" x14ac:dyDescent="0.4">
      <c r="A21" s="598" t="s">
        <v>190</v>
      </c>
      <c r="B21" s="599"/>
      <c r="C21" s="599"/>
      <c r="D21" s="600"/>
      <c r="E21" s="252"/>
      <c r="F21" s="252"/>
      <c r="G21" s="252"/>
      <c r="H21" s="252"/>
      <c r="I21" s="253"/>
      <c r="J21" s="210"/>
      <c r="K21" s="239" t="s">
        <v>154</v>
      </c>
      <c r="L21" s="403" t="str">
        <f>IF(AND(B23&lt;15),"&lt;15 Students",IF(AND(A25&gt;=0.1%,A25&lt;1%),1,IF(AND(A25&gt;=1%,A25&lt;2%),2,IF(AND(A25&gt;=2%,A25&lt;5%),3,IF(AND(A25&gt;=5%,A25&lt;10%),4,IF(A25&gt;=10%,5,0))))))</f>
        <v>&lt;15 Students</v>
      </c>
      <c r="M21" s="240">
        <f>IF(B23&lt;15,0,5)</f>
        <v>0</v>
      </c>
      <c r="N21" s="211"/>
      <c r="O21" s="211"/>
      <c r="P21" s="254" t="s">
        <v>160</v>
      </c>
      <c r="Q21" s="255" t="s">
        <v>161</v>
      </c>
      <c r="R21" s="256" t="s">
        <v>162</v>
      </c>
      <c r="S21" s="211"/>
      <c r="T21" s="211"/>
      <c r="U21" s="212"/>
    </row>
    <row r="22" spans="1:21" ht="15.5" thickTop="1" thickBot="1" x14ac:dyDescent="0.4">
      <c r="A22" s="412" t="s">
        <v>274</v>
      </c>
      <c r="B22" s="410" t="s">
        <v>275</v>
      </c>
      <c r="C22" s="412" t="s">
        <v>276</v>
      </c>
      <c r="D22" s="410" t="s">
        <v>274</v>
      </c>
      <c r="E22" s="252"/>
      <c r="F22" s="252"/>
      <c r="G22" s="252"/>
      <c r="H22" s="252"/>
      <c r="I22" s="253"/>
      <c r="J22" s="210"/>
      <c r="K22" s="243" t="s">
        <v>155</v>
      </c>
      <c r="L22" s="244" t="str">
        <f>IF(AND(D23&lt;15),"&lt;15 Students",IF(AND(C25&gt;=1%,C25&lt;10%),1,IF(AND(C25&gt;=10%,C25&lt;40%),2,IF(AND(C25&gt;=40%,C25&lt;60%),3,IF(AND(C25&gt;=60%,C25&lt;80%),4,IF(C25&gt;=80%,5,0))))))</f>
        <v>&lt;15 Students</v>
      </c>
      <c r="M22" s="245">
        <f>IF(D23&lt;15,0,5)</f>
        <v>0</v>
      </c>
      <c r="N22" s="211"/>
      <c r="O22" s="211"/>
      <c r="P22" s="257" t="s">
        <v>154</v>
      </c>
      <c r="Q22" s="218">
        <f>SUM(L9:L12,L21,L29,L38)</f>
        <v>0</v>
      </c>
      <c r="R22" s="258">
        <f>SUM(M9:M12,M21,M29,M38)</f>
        <v>0</v>
      </c>
      <c r="S22" s="211"/>
      <c r="T22" s="211"/>
      <c r="U22" s="212"/>
    </row>
    <row r="23" spans="1:21" ht="15.5" thickTop="1" thickBot="1" x14ac:dyDescent="0.4">
      <c r="A23" s="241"/>
      <c r="B23" s="242"/>
      <c r="C23" s="416"/>
      <c r="D23" s="259">
        <f>A23</f>
        <v>0</v>
      </c>
      <c r="E23" s="252"/>
      <c r="F23" s="252"/>
      <c r="G23" s="252"/>
      <c r="H23" s="252"/>
      <c r="I23" s="253"/>
      <c r="J23" s="210"/>
      <c r="K23" s="211"/>
      <c r="L23" s="211"/>
      <c r="M23" s="211"/>
      <c r="N23" s="211"/>
      <c r="O23" s="211"/>
      <c r="P23" s="260" t="s">
        <v>155</v>
      </c>
      <c r="Q23" s="261">
        <f>SUM(L13:L16,L22,L30,L39)</f>
        <v>0</v>
      </c>
      <c r="R23" s="262">
        <f>SUM(M13:M16,M22,M30,M39)</f>
        <v>0</v>
      </c>
      <c r="S23" s="211"/>
      <c r="T23" s="211"/>
      <c r="U23" s="212"/>
    </row>
    <row r="24" spans="1:21" ht="15" thickTop="1" x14ac:dyDescent="0.35">
      <c r="A24" s="573" t="s">
        <v>156</v>
      </c>
      <c r="B24" s="574"/>
      <c r="C24" s="580" t="s">
        <v>157</v>
      </c>
      <c r="D24" s="568"/>
      <c r="E24" s="252"/>
      <c r="F24" s="263"/>
      <c r="G24" s="252"/>
      <c r="H24" s="252"/>
      <c r="I24" s="253"/>
      <c r="J24" s="210"/>
      <c r="K24" s="211"/>
      <c r="L24" s="211"/>
      <c r="M24" s="211"/>
      <c r="N24" s="211"/>
      <c r="O24" s="211"/>
      <c r="P24" s="211"/>
      <c r="Q24" s="211"/>
      <c r="R24" s="211"/>
      <c r="S24" s="211"/>
      <c r="T24" s="211"/>
      <c r="U24" s="212"/>
    </row>
    <row r="25" spans="1:21" ht="15" thickBot="1" x14ac:dyDescent="0.4">
      <c r="A25" s="575" t="e">
        <f>A23/B23</f>
        <v>#DIV/0!</v>
      </c>
      <c r="B25" s="576"/>
      <c r="C25" s="581" t="e">
        <f>C23/D23</f>
        <v>#DIV/0!</v>
      </c>
      <c r="D25" s="576"/>
      <c r="E25" s="252"/>
      <c r="F25" s="263"/>
      <c r="G25" s="252"/>
      <c r="H25" s="252"/>
      <c r="I25" s="253"/>
      <c r="J25" s="210"/>
      <c r="K25" s="211"/>
      <c r="L25" s="211"/>
      <c r="M25" s="211"/>
      <c r="N25" s="211"/>
      <c r="O25" s="211"/>
      <c r="P25" s="211"/>
      <c r="Q25" s="211"/>
      <c r="R25" s="211"/>
      <c r="S25" s="211"/>
      <c r="T25" s="211"/>
      <c r="U25" s="212"/>
    </row>
    <row r="26" spans="1:21" ht="15.5" thickTop="1" thickBot="1" x14ac:dyDescent="0.4">
      <c r="A26" s="251"/>
      <c r="B26" s="252"/>
      <c r="C26" s="252"/>
      <c r="D26" s="252"/>
      <c r="E26" s="252"/>
      <c r="F26" s="252"/>
      <c r="G26" s="264"/>
      <c r="H26" s="252"/>
      <c r="I26" s="253"/>
      <c r="J26" s="210"/>
      <c r="K26" s="211"/>
      <c r="L26" s="211"/>
      <c r="M26" s="211"/>
      <c r="N26" s="211"/>
      <c r="O26" s="211"/>
      <c r="P26" s="211"/>
      <c r="Q26" s="211"/>
      <c r="R26" s="211"/>
      <c r="S26" s="211"/>
      <c r="T26" s="211"/>
      <c r="U26" s="212"/>
    </row>
    <row r="27" spans="1:21" ht="15" thickBot="1" x14ac:dyDescent="0.4">
      <c r="A27" s="587" t="s">
        <v>163</v>
      </c>
      <c r="B27" s="588"/>
      <c r="C27" s="588"/>
      <c r="D27" s="589"/>
      <c r="E27" s="265"/>
      <c r="F27" s="252"/>
      <c r="G27" s="266"/>
      <c r="H27" s="252"/>
      <c r="I27" s="253"/>
      <c r="J27" s="210"/>
      <c r="K27" s="211"/>
      <c r="L27" s="211"/>
      <c r="M27" s="211"/>
      <c r="N27" s="211"/>
      <c r="O27" s="211"/>
      <c r="P27" s="211"/>
      <c r="Q27" s="211"/>
      <c r="R27" s="211"/>
      <c r="S27" s="211"/>
      <c r="T27" s="211"/>
      <c r="U27" s="212"/>
    </row>
    <row r="28" spans="1:21" ht="15" thickBot="1" x14ac:dyDescent="0.4">
      <c r="A28" s="567" t="s">
        <v>190</v>
      </c>
      <c r="B28" s="590"/>
      <c r="C28" s="590"/>
      <c r="D28" s="591"/>
      <c r="E28" s="252"/>
      <c r="F28" s="252"/>
      <c r="G28" s="264"/>
      <c r="H28" s="252"/>
      <c r="I28" s="253"/>
      <c r="J28" s="210"/>
      <c r="K28" s="236" t="s">
        <v>166</v>
      </c>
      <c r="L28" s="237" t="s">
        <v>17</v>
      </c>
      <c r="M28" s="238" t="s">
        <v>63</v>
      </c>
      <c r="N28" s="211"/>
      <c r="O28" s="211"/>
      <c r="P28" s="211"/>
      <c r="Q28" s="211"/>
      <c r="R28" s="211"/>
      <c r="S28" s="211"/>
      <c r="T28" s="211"/>
      <c r="U28" s="212"/>
    </row>
    <row r="29" spans="1:21" ht="15.5" thickTop="1" thickBot="1" x14ac:dyDescent="0.4">
      <c r="A29" s="577" t="s">
        <v>164</v>
      </c>
      <c r="B29" s="578"/>
      <c r="C29" s="579" t="s">
        <v>165</v>
      </c>
      <c r="D29" s="578"/>
      <c r="E29" s="252"/>
      <c r="F29" s="252"/>
      <c r="G29" s="266"/>
      <c r="H29" s="252"/>
      <c r="I29" s="253"/>
      <c r="J29" s="210"/>
      <c r="K29" s="239" t="s">
        <v>154</v>
      </c>
      <c r="L29" s="403" t="str">
        <f>IF(AND(C30&lt;15),"&lt;15 Students",IF(AND(A34&gt;0, A34&lt;0.4),0,IF(AND(A34&gt;=0.4,A34&lt;0.5),4,IF(AND(A34&gt;=0.5,A34&lt;0.6),8,IF(AND(A34&gt;=0.6,A34&lt;0.7),12,IF(AND(A34&gt;=0.7,A34&lt;0.8),16,IF(AND(A34&gt;=0.8),20,0)))))))</f>
        <v>&lt;15 Students</v>
      </c>
      <c r="M29" s="240">
        <f>IF(C30&lt;15,0,20)</f>
        <v>0</v>
      </c>
      <c r="N29" s="211"/>
      <c r="O29" s="211"/>
      <c r="P29" s="211"/>
      <c r="Q29" s="211"/>
      <c r="R29" s="211"/>
      <c r="S29" s="211"/>
      <c r="T29" s="211"/>
      <c r="U29" s="212"/>
    </row>
    <row r="30" spans="1:21" ht="15.5" thickTop="1" thickBot="1" x14ac:dyDescent="0.4">
      <c r="A30" s="570"/>
      <c r="B30" s="571"/>
      <c r="C30" s="572"/>
      <c r="D30" s="571"/>
      <c r="E30" s="252"/>
      <c r="F30" s="252"/>
      <c r="G30" s="252"/>
      <c r="H30" s="252"/>
      <c r="I30" s="253"/>
      <c r="J30" s="210"/>
      <c r="K30" s="243" t="s">
        <v>155</v>
      </c>
      <c r="L30" s="244" t="str">
        <f>IF(AND(A32&lt;15),"&lt;15 Students",IF(AND(C34&gt;=0,C34&lt;0.4),0,IF(AND(C34&gt;=0.4,C34&lt;0.5),2,IF(AND(C34&gt;=0.5,C34&lt;0.6),4,IF(AND(C34&gt;=0.6, C34&lt;0.7),6,IF(AND(C34&gt;=0.7,C34&lt;0.8),8,IF(AND(C34&gt;=0.8),10,0)))))))</f>
        <v>&lt;15 Students</v>
      </c>
      <c r="M30" s="245">
        <f>IF(C32&lt;15,0,10)</f>
        <v>0</v>
      </c>
      <c r="N30" s="211"/>
      <c r="O30" s="211"/>
      <c r="P30" s="211"/>
      <c r="Q30" s="211"/>
      <c r="R30" s="211"/>
      <c r="S30" s="211"/>
      <c r="T30" s="211"/>
      <c r="U30" s="212"/>
    </row>
    <row r="31" spans="1:21" ht="15.5" thickTop="1" thickBot="1" x14ac:dyDescent="0.4">
      <c r="A31" s="412" t="s">
        <v>277</v>
      </c>
      <c r="B31" s="410" t="s">
        <v>278</v>
      </c>
      <c r="C31" s="411" t="s">
        <v>279</v>
      </c>
      <c r="D31" s="410" t="s">
        <v>280</v>
      </c>
      <c r="E31" s="252"/>
      <c r="F31" s="252"/>
      <c r="G31" s="252"/>
      <c r="H31" s="252"/>
      <c r="I31" s="253"/>
      <c r="J31" s="210"/>
      <c r="K31" s="211"/>
      <c r="L31" s="211"/>
      <c r="M31" s="211"/>
      <c r="N31" s="211"/>
      <c r="O31" s="211"/>
      <c r="P31" s="211"/>
      <c r="Q31" s="211"/>
      <c r="R31" s="211"/>
      <c r="S31" s="211"/>
      <c r="T31" s="211"/>
      <c r="U31" s="212"/>
    </row>
    <row r="32" spans="1:21" ht="15.5" thickTop="1" thickBot="1" x14ac:dyDescent="0.4">
      <c r="A32" s="267"/>
      <c r="B32" s="268"/>
      <c r="C32" s="268"/>
      <c r="D32" s="268"/>
      <c r="E32" s="252"/>
      <c r="F32" s="252"/>
      <c r="G32" s="252"/>
      <c r="H32" s="252"/>
      <c r="I32" s="253"/>
      <c r="J32" s="210"/>
      <c r="K32" s="211"/>
      <c r="L32" s="211"/>
      <c r="M32" s="211"/>
      <c r="N32" s="211"/>
      <c r="O32" s="211"/>
      <c r="P32" s="211"/>
      <c r="Q32" s="211"/>
      <c r="R32" s="211"/>
      <c r="S32" s="211"/>
      <c r="T32" s="211"/>
      <c r="U32" s="212"/>
    </row>
    <row r="33" spans="1:21" ht="19.5" thickTop="1" thickBot="1" x14ac:dyDescent="0.4">
      <c r="A33" s="607" t="s">
        <v>167</v>
      </c>
      <c r="B33" s="608"/>
      <c r="C33" s="610" t="s">
        <v>167</v>
      </c>
      <c r="D33" s="608"/>
      <c r="E33" s="252"/>
      <c r="F33" s="252"/>
      <c r="G33" s="252"/>
      <c r="H33" s="252"/>
      <c r="I33" s="253"/>
      <c r="J33" s="210"/>
      <c r="K33" s="211"/>
      <c r="L33" s="211"/>
      <c r="M33" s="211"/>
      <c r="N33" s="211"/>
      <c r="O33" s="211"/>
      <c r="P33" s="269" t="s">
        <v>161</v>
      </c>
      <c r="Q33" s="270" t="s">
        <v>162</v>
      </c>
      <c r="R33" s="270" t="s">
        <v>169</v>
      </c>
      <c r="S33" s="271" t="s">
        <v>170</v>
      </c>
      <c r="T33" s="211"/>
      <c r="U33" s="212"/>
    </row>
    <row r="34" spans="1:21" ht="22" thickTop="1" thickBot="1" x14ac:dyDescent="0.55000000000000004">
      <c r="A34" s="609" t="e">
        <f>(A32/B32)/(A30/C30)</f>
        <v>#DIV/0!</v>
      </c>
      <c r="B34" s="563"/>
      <c r="C34" s="562" t="e">
        <f>(C32/D32)/(A30/C30)</f>
        <v>#DIV/0!</v>
      </c>
      <c r="D34" s="563"/>
      <c r="E34" s="252"/>
      <c r="F34" s="252"/>
      <c r="G34" s="252"/>
      <c r="H34" s="252"/>
      <c r="I34" s="253"/>
      <c r="J34" s="210"/>
      <c r="K34" s="211"/>
      <c r="L34" s="211"/>
      <c r="M34" s="211"/>
      <c r="N34" s="211"/>
      <c r="O34" s="211"/>
      <c r="P34" s="272">
        <f>SUM(Q22:Q23)</f>
        <v>0</v>
      </c>
      <c r="Q34" s="272">
        <f>SUM(R22:R23)</f>
        <v>0</v>
      </c>
      <c r="R34" s="273" t="e">
        <f>P34/Q34</f>
        <v>#DIV/0!</v>
      </c>
      <c r="S34" s="272" t="e">
        <f>IF(AND(R37="2021-2022",R34&gt;=60%),"Met",IF(AND(R37="2022-2023",R34&gt;=70%),"Met",IF(AND(R37="2023-2024",R34&gt;=80%),"Met","Not Met")))</f>
        <v>#DIV/0!</v>
      </c>
      <c r="T34" s="211"/>
      <c r="U34" s="212"/>
    </row>
    <row r="35" spans="1:21" ht="15.5" thickTop="1" thickBot="1" x14ac:dyDescent="0.4">
      <c r="A35" s="251"/>
      <c r="B35" s="252"/>
      <c r="C35" s="252"/>
      <c r="D35" s="252"/>
      <c r="E35" s="252"/>
      <c r="F35" s="252"/>
      <c r="G35" s="252"/>
      <c r="H35" s="252"/>
      <c r="I35" s="253"/>
      <c r="J35" s="210"/>
      <c r="K35" s="211"/>
      <c r="L35" s="211"/>
      <c r="M35" s="211"/>
      <c r="N35" s="211"/>
      <c r="O35" s="211"/>
      <c r="P35" s="211"/>
      <c r="Q35" s="211"/>
      <c r="R35" s="211"/>
      <c r="S35" s="211"/>
      <c r="T35" s="211"/>
      <c r="U35" s="212"/>
    </row>
    <row r="36" spans="1:21" ht="15" thickBot="1" x14ac:dyDescent="0.4">
      <c r="A36" s="592" t="s">
        <v>168</v>
      </c>
      <c r="B36" s="593"/>
      <c r="C36" s="593"/>
      <c r="D36" s="594"/>
      <c r="E36" s="252"/>
      <c r="F36" s="252"/>
      <c r="G36" s="252"/>
      <c r="H36" s="252"/>
      <c r="I36" s="253"/>
      <c r="J36" s="210"/>
      <c r="K36" s="211"/>
      <c r="L36" s="211"/>
      <c r="M36" s="211"/>
      <c r="N36" s="211"/>
      <c r="O36" s="211"/>
      <c r="P36" s="211"/>
      <c r="Q36" s="211"/>
      <c r="R36" s="211"/>
      <c r="S36" s="211"/>
      <c r="T36" s="211"/>
      <c r="U36" s="212"/>
    </row>
    <row r="37" spans="1:21" ht="15.5" thickTop="1" thickBot="1" x14ac:dyDescent="0.4">
      <c r="A37" s="564" t="s">
        <v>190</v>
      </c>
      <c r="B37" s="565"/>
      <c r="C37" s="565"/>
      <c r="D37" s="566"/>
      <c r="E37" s="252"/>
      <c r="F37" s="252"/>
      <c r="G37" s="252"/>
      <c r="H37" s="252"/>
      <c r="I37" s="253"/>
      <c r="J37" s="210"/>
      <c r="K37" s="236" t="s">
        <v>172</v>
      </c>
      <c r="L37" s="237" t="s">
        <v>17</v>
      </c>
      <c r="M37" s="238" t="s">
        <v>63</v>
      </c>
      <c r="N37" s="211"/>
      <c r="O37" s="211"/>
      <c r="P37" s="211"/>
      <c r="Q37" s="274" t="s">
        <v>55</v>
      </c>
      <c r="R37" s="415" t="s">
        <v>273</v>
      </c>
      <c r="S37" s="211"/>
      <c r="T37" s="211"/>
      <c r="U37" s="212"/>
    </row>
    <row r="38" spans="1:21" ht="15" thickBot="1" x14ac:dyDescent="0.4">
      <c r="A38" s="567" t="s">
        <v>171</v>
      </c>
      <c r="B38" s="568"/>
      <c r="C38" s="569" t="s">
        <v>165</v>
      </c>
      <c r="D38" s="568"/>
      <c r="E38" s="252"/>
      <c r="F38" s="252"/>
      <c r="G38" s="252"/>
      <c r="H38" s="252"/>
      <c r="I38" s="253"/>
      <c r="J38" s="210"/>
      <c r="K38" s="239" t="s">
        <v>154</v>
      </c>
      <c r="L38" s="403" t="str">
        <f>(IF(AND(C39&lt;15),"&lt;15 Students",IF(AND(A43&gt;=0,A43&lt;0.4),0,IF(AND(A43&gt;=0.4,A43&lt;0.5),4,IF(AND(A43&gt;=0.5,A43&lt;0.6),8,IF(AND(A43&gt;=0.6,A43&lt;0.7),12,IF(AND(A43&gt;=0.7,A43&lt;0.8),16,IF(AND(A43&gt;=0.8),20,0))))))))</f>
        <v>&lt;15 Students</v>
      </c>
      <c r="M38" s="240">
        <f>IF(C39&lt;15,0,20)</f>
        <v>0</v>
      </c>
      <c r="N38" s="211"/>
      <c r="O38" s="211"/>
      <c r="P38" s="211"/>
      <c r="Q38" s="213"/>
      <c r="R38" s="213"/>
      <c r="S38" s="211"/>
      <c r="T38" s="211"/>
      <c r="U38" s="212"/>
    </row>
    <row r="39" spans="1:21" ht="15.5" thickTop="1" thickBot="1" x14ac:dyDescent="0.4">
      <c r="A39" s="570"/>
      <c r="B39" s="571"/>
      <c r="C39" s="572"/>
      <c r="D39" s="571"/>
      <c r="E39" s="252"/>
      <c r="F39" s="252"/>
      <c r="G39" s="252"/>
      <c r="H39" s="252"/>
      <c r="I39" s="253"/>
      <c r="J39" s="210"/>
      <c r="K39" s="243" t="s">
        <v>155</v>
      </c>
      <c r="L39" s="244" t="str">
        <f>IF(AND(A41&lt;15),"&lt;15 Students",IF(AND(C43&gt;=0,C43&lt;0.4),0,IF(AND(C43&gt;=0.4,C43&lt;0.5),2,IF(AND(C43&gt;=0.5,C43&lt;0.6),4,IF(AND(C43&gt;=0.6, C43&lt;0.7),6,IF(AND(C43&gt;=0.7,C43&lt;0.8),8,IF(AND(C43&gt;=0.8),10,0)))))))</f>
        <v>&lt;15 Students</v>
      </c>
      <c r="M39" s="245">
        <f>IF(C41&lt;15,0,10)</f>
        <v>0</v>
      </c>
      <c r="N39" s="211"/>
      <c r="O39" s="211"/>
      <c r="P39" s="211"/>
      <c r="Q39" s="213"/>
      <c r="R39" s="213"/>
      <c r="S39" s="211"/>
      <c r="T39" s="211"/>
      <c r="U39" s="212"/>
    </row>
    <row r="40" spans="1:21" ht="15.5" thickTop="1" thickBot="1" x14ac:dyDescent="0.4">
      <c r="A40" s="275" t="s">
        <v>281</v>
      </c>
      <c r="B40" s="276" t="s">
        <v>278</v>
      </c>
      <c r="C40" s="277" t="s">
        <v>282</v>
      </c>
      <c r="D40" s="276" t="s">
        <v>280</v>
      </c>
      <c r="E40" s="252"/>
      <c r="F40" s="252"/>
      <c r="G40" s="252"/>
      <c r="H40" s="252"/>
      <c r="I40" s="253"/>
      <c r="J40" s="210"/>
      <c r="K40" s="211"/>
      <c r="L40" s="211"/>
      <c r="M40" s="211"/>
      <c r="N40" s="211"/>
      <c r="O40" s="211"/>
      <c r="P40" s="211"/>
      <c r="Q40" s="211"/>
      <c r="R40" s="211"/>
      <c r="S40" s="211"/>
      <c r="T40" s="211"/>
      <c r="U40" s="212"/>
    </row>
    <row r="41" spans="1:21" ht="15.5" thickTop="1" thickBot="1" x14ac:dyDescent="0.4">
      <c r="A41" s="420"/>
      <c r="B41" s="422">
        <f>B32</f>
        <v>0</v>
      </c>
      <c r="C41" s="421"/>
      <c r="D41" s="422">
        <f>D32</f>
        <v>0</v>
      </c>
      <c r="E41" s="252"/>
      <c r="F41" s="252"/>
      <c r="G41" s="252"/>
      <c r="H41" s="252"/>
      <c r="I41" s="253"/>
      <c r="J41" s="210"/>
      <c r="K41" s="211"/>
      <c r="L41" s="211"/>
      <c r="M41" s="211"/>
      <c r="N41" s="211"/>
      <c r="O41" s="211"/>
      <c r="P41" s="211"/>
      <c r="Q41" s="211"/>
      <c r="R41" s="211"/>
      <c r="S41" s="211"/>
      <c r="T41" s="211"/>
      <c r="U41" s="212"/>
    </row>
    <row r="42" spans="1:21" ht="15" thickTop="1" x14ac:dyDescent="0.35">
      <c r="A42" s="601" t="s">
        <v>167</v>
      </c>
      <c r="B42" s="602"/>
      <c r="C42" s="605" t="s">
        <v>167</v>
      </c>
      <c r="D42" s="602"/>
      <c r="E42" s="252"/>
      <c r="F42" s="252"/>
      <c r="G42" s="252"/>
      <c r="H42" s="252"/>
      <c r="I42" s="253"/>
      <c r="J42" s="210"/>
      <c r="K42" s="211"/>
      <c r="L42" s="211"/>
      <c r="M42" s="211"/>
      <c r="N42" s="211"/>
      <c r="O42" s="211"/>
      <c r="P42" s="211"/>
      <c r="Q42" s="211"/>
      <c r="R42" s="211"/>
      <c r="S42" s="211"/>
      <c r="T42" s="211"/>
      <c r="U42" s="212"/>
    </row>
    <row r="43" spans="1:21" x14ac:dyDescent="0.35">
      <c r="A43" s="603" t="e">
        <f>(A41/B41)/(A39/C39)</f>
        <v>#DIV/0!</v>
      </c>
      <c r="B43" s="604"/>
      <c r="C43" s="606" t="e">
        <f>(C41/D41)/(A39/C39)</f>
        <v>#DIV/0!</v>
      </c>
      <c r="D43" s="604"/>
      <c r="E43" s="278"/>
      <c r="F43" s="278"/>
      <c r="G43" s="278"/>
      <c r="H43" s="278"/>
      <c r="I43" s="279"/>
      <c r="J43" s="231"/>
      <c r="K43" s="232"/>
      <c r="L43" s="232"/>
      <c r="M43" s="232"/>
      <c r="N43" s="232"/>
      <c r="O43" s="232"/>
      <c r="P43" s="232"/>
      <c r="Q43" s="232"/>
      <c r="R43" s="232"/>
      <c r="S43" s="232"/>
      <c r="T43" s="232"/>
      <c r="U43" s="233"/>
    </row>
    <row r="45" spans="1:21" x14ac:dyDescent="0.35">
      <c r="A45" s="425" t="s">
        <v>42</v>
      </c>
    </row>
    <row r="46" spans="1:21" x14ac:dyDescent="0.35">
      <c r="A46" s="172" t="s">
        <v>43</v>
      </c>
    </row>
    <row r="47" spans="1:21" x14ac:dyDescent="0.35">
      <c r="A47" s="280"/>
      <c r="N47" s="226"/>
    </row>
    <row r="48" spans="1:21" x14ac:dyDescent="0.35">
      <c r="A48" s="281"/>
    </row>
  </sheetData>
  <sheetProtection sheet="1" objects="1" scenarios="1"/>
  <protectedRanges>
    <protectedRange sqref="A10:H10 A16 C16 E16 G16 R37 A23:C23 A30:D30 A32:D32 A39:D39 A41 C41" name="inputs"/>
  </protectedRanges>
  <mergeCells count="54">
    <mergeCell ref="A42:B42"/>
    <mergeCell ref="A43:B43"/>
    <mergeCell ref="C42:D42"/>
    <mergeCell ref="C43:D43"/>
    <mergeCell ref="G18:H18"/>
    <mergeCell ref="A24:B24"/>
    <mergeCell ref="A25:B25"/>
    <mergeCell ref="C24:D24"/>
    <mergeCell ref="C25:D25"/>
    <mergeCell ref="A18:B18"/>
    <mergeCell ref="C18:D18"/>
    <mergeCell ref="E18:F18"/>
    <mergeCell ref="A36:D36"/>
    <mergeCell ref="A33:B33"/>
    <mergeCell ref="A34:B34"/>
    <mergeCell ref="C33:D33"/>
    <mergeCell ref="E11:F11"/>
    <mergeCell ref="E12:F12"/>
    <mergeCell ref="G11:H11"/>
    <mergeCell ref="G12:H12"/>
    <mergeCell ref="G17:H17"/>
    <mergeCell ref="E17:F17"/>
    <mergeCell ref="A5:H5"/>
    <mergeCell ref="J5:U5"/>
    <mergeCell ref="A27:D27"/>
    <mergeCell ref="A28:D28"/>
    <mergeCell ref="G8:H8"/>
    <mergeCell ref="A7:H7"/>
    <mergeCell ref="A20:D20"/>
    <mergeCell ref="A21:D21"/>
    <mergeCell ref="A8:B8"/>
    <mergeCell ref="C8:D8"/>
    <mergeCell ref="E8:F8"/>
    <mergeCell ref="A13:H13"/>
    <mergeCell ref="A14:B14"/>
    <mergeCell ref="C14:D14"/>
    <mergeCell ref="E14:F14"/>
    <mergeCell ref="G14:H14"/>
    <mergeCell ref="A11:B11"/>
    <mergeCell ref="A12:B12"/>
    <mergeCell ref="A29:B29"/>
    <mergeCell ref="C29:D29"/>
    <mergeCell ref="A30:B30"/>
    <mergeCell ref="C30:D30"/>
    <mergeCell ref="C11:D11"/>
    <mergeCell ref="C12:D12"/>
    <mergeCell ref="A17:B17"/>
    <mergeCell ref="C17:D17"/>
    <mergeCell ref="C34:D34"/>
    <mergeCell ref="A37:D37"/>
    <mergeCell ref="A38:B38"/>
    <mergeCell ref="C38:D38"/>
    <mergeCell ref="A39:B39"/>
    <mergeCell ref="C39:D39"/>
  </mergeCells>
  <dataValidations count="1">
    <dataValidation type="list" allowBlank="1" showInputMessage="1" showErrorMessage="1" sqref="R37" xr:uid="{20B65D57-7C97-4D72-8706-906E406731B0}">
      <formula1>"2021-2022, 2022-2023, 2023-2024"</formula1>
    </dataValidation>
  </dataValidations>
  <hyperlinks>
    <hyperlink ref="A45" r:id="rId1" xr:uid="{D4E0561C-4589-4A31-833F-A2268A3EF85F}"/>
    <hyperlink ref="A46" r:id="rId2" xr:uid="{4C810513-3FDA-4E19-AEB8-CE698B14F215}"/>
  </hyperlinks>
  <pageMargins left="0.7" right="0.7" top="0.75" bottom="0.75" header="0.3" footer="0.3"/>
  <pageSetup orientation="portrait" horizontalDpi="1200" verticalDpi="120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4960-B950-4235-A9C0-BA8B502D8CC9}">
  <dimension ref="A1:W26"/>
  <sheetViews>
    <sheetView workbookViewId="0">
      <selection activeCell="C13" sqref="C13:F13"/>
    </sheetView>
  </sheetViews>
  <sheetFormatPr defaultColWidth="9.1796875" defaultRowHeight="14.5" x14ac:dyDescent="0.35"/>
  <cols>
    <col min="1" max="1" width="45.26953125" style="3" customWidth="1"/>
    <col min="2" max="2" width="5" style="2" customWidth="1"/>
    <col min="3" max="3" width="9.1796875" style="2"/>
    <col min="4" max="5" width="8.7265625" style="2" customWidth="1"/>
    <col min="6" max="6" width="9.1796875" style="2"/>
    <col min="7" max="7" width="3.1796875" style="2" customWidth="1"/>
    <col min="8" max="8" width="4" style="2" customWidth="1"/>
    <col min="9" max="9" width="30.54296875" style="2" bestFit="1" customWidth="1"/>
    <col min="10" max="10" width="21.54296875" style="174" customWidth="1"/>
    <col min="11" max="11" width="20.7265625" style="2" customWidth="1"/>
    <col min="12" max="12" width="6.1796875" style="2" customWidth="1"/>
    <col min="13" max="13" width="4.81640625" style="2" customWidth="1"/>
    <col min="14" max="14" width="9.1796875" style="2"/>
    <col min="15" max="15" width="3.54296875" style="2" customWidth="1"/>
    <col min="16" max="22" width="9.1796875" style="2"/>
    <col min="23" max="23" width="4" style="2" customWidth="1"/>
    <col min="24" max="16384" width="9.1796875" style="2"/>
  </cols>
  <sheetData>
    <row r="1" spans="1:23" x14ac:dyDescent="0.35">
      <c r="A1" s="1" t="s">
        <v>7</v>
      </c>
      <c r="J1" s="2"/>
    </row>
    <row r="2" spans="1:23" x14ac:dyDescent="0.35">
      <c r="A2" s="2" t="s">
        <v>8</v>
      </c>
      <c r="J2" s="2"/>
    </row>
    <row r="3" spans="1:23" x14ac:dyDescent="0.35">
      <c r="A3" s="2" t="s">
        <v>191</v>
      </c>
      <c r="J3" s="2"/>
    </row>
    <row r="4" spans="1:23" x14ac:dyDescent="0.35">
      <c r="A4" s="2" t="s">
        <v>192</v>
      </c>
      <c r="J4" s="2"/>
    </row>
    <row r="5" spans="1:23" ht="15.65" customHeight="1" thickBot="1" x14ac:dyDescent="0.4">
      <c r="A5" s="173"/>
    </row>
    <row r="6" spans="1:23" ht="29" thickTop="1" x14ac:dyDescent="0.65">
      <c r="A6" s="624" t="s">
        <v>193</v>
      </c>
      <c r="B6" s="625"/>
      <c r="C6" s="625"/>
      <c r="D6" s="625"/>
      <c r="E6" s="625"/>
      <c r="F6" s="625"/>
      <c r="G6" s="626"/>
      <c r="H6" s="627" t="s">
        <v>194</v>
      </c>
      <c r="I6" s="627"/>
      <c r="J6" s="627"/>
      <c r="K6" s="627"/>
      <c r="L6" s="627"/>
      <c r="M6" s="628" t="s">
        <v>12</v>
      </c>
      <c r="N6" s="629"/>
      <c r="O6" s="629"/>
      <c r="P6" s="629"/>
      <c r="Q6" s="629"/>
      <c r="R6" s="629"/>
      <c r="S6" s="629"/>
      <c r="T6" s="629"/>
      <c r="U6" s="629"/>
      <c r="V6" s="629"/>
      <c r="W6" s="630"/>
    </row>
    <row r="7" spans="1:23" ht="17.149999999999999" customHeight="1" x14ac:dyDescent="0.35">
      <c r="A7" s="175"/>
      <c r="B7" s="176"/>
      <c r="C7" s="176"/>
      <c r="D7" s="176"/>
      <c r="E7" s="176"/>
      <c r="F7" s="176"/>
      <c r="G7" s="176"/>
      <c r="H7" s="64"/>
      <c r="I7" s="64"/>
      <c r="J7" s="177"/>
      <c r="K7" s="64"/>
      <c r="L7" s="64"/>
      <c r="M7" s="144"/>
      <c r="N7" s="144"/>
      <c r="O7" s="144"/>
      <c r="P7" s="144"/>
      <c r="Q7" s="144"/>
      <c r="R7" s="144"/>
      <c r="S7" s="144"/>
      <c r="T7" s="178">
        <v>0</v>
      </c>
      <c r="U7" s="178">
        <v>1</v>
      </c>
      <c r="V7" s="144"/>
      <c r="W7" s="179"/>
    </row>
    <row r="8" spans="1:23" x14ac:dyDescent="0.35">
      <c r="A8" s="180"/>
      <c r="B8" s="176"/>
      <c r="C8" s="176"/>
      <c r="D8" s="176"/>
      <c r="E8" s="176"/>
      <c r="F8" s="176"/>
      <c r="G8" s="176"/>
      <c r="H8" s="64"/>
      <c r="I8" s="64"/>
      <c r="J8" s="177"/>
      <c r="K8" s="64"/>
      <c r="L8" s="64"/>
      <c r="M8" s="144"/>
      <c r="N8" s="144"/>
      <c r="O8" s="144"/>
      <c r="P8" s="144"/>
      <c r="Q8" s="144"/>
      <c r="R8" s="144"/>
      <c r="S8" s="144"/>
      <c r="T8" s="178">
        <v>58</v>
      </c>
      <c r="U8" s="178">
        <v>2</v>
      </c>
      <c r="V8" s="144"/>
      <c r="W8" s="181"/>
    </row>
    <row r="9" spans="1:23" ht="18.5" x14ac:dyDescent="0.45">
      <c r="A9" s="182" t="s">
        <v>195</v>
      </c>
      <c r="B9" s="176"/>
      <c r="C9" s="176"/>
      <c r="D9" s="176"/>
      <c r="E9" s="176"/>
      <c r="F9" s="176"/>
      <c r="G9" s="176"/>
      <c r="H9" s="64"/>
      <c r="I9" s="64"/>
      <c r="J9" s="177"/>
      <c r="K9" s="64"/>
      <c r="L9" s="64"/>
      <c r="M9" s="144"/>
      <c r="N9" s="144"/>
      <c r="O9" s="144"/>
      <c r="P9" s="144"/>
      <c r="Q9" s="144"/>
      <c r="R9" s="144"/>
      <c r="S9" s="144"/>
      <c r="T9" s="178">
        <v>68</v>
      </c>
      <c r="U9" s="178">
        <v>3</v>
      </c>
      <c r="V9" s="144"/>
      <c r="W9" s="181"/>
    </row>
    <row r="10" spans="1:23" ht="15" thickBot="1" x14ac:dyDescent="0.4">
      <c r="A10" s="183" t="s">
        <v>196</v>
      </c>
      <c r="B10" s="176"/>
      <c r="C10" s="612" t="s">
        <v>197</v>
      </c>
      <c r="D10" s="613"/>
      <c r="E10" s="613"/>
      <c r="F10" s="614"/>
      <c r="G10" s="176"/>
      <c r="H10" s="64"/>
      <c r="I10" s="64"/>
      <c r="J10" s="177"/>
      <c r="K10" s="64"/>
      <c r="L10" s="64"/>
      <c r="M10" s="144"/>
      <c r="N10" s="144"/>
      <c r="O10" s="144"/>
      <c r="P10" s="144"/>
      <c r="Q10" s="144"/>
      <c r="R10" s="144"/>
      <c r="S10" s="144"/>
      <c r="T10" s="178">
        <v>78</v>
      </c>
      <c r="U10" s="178">
        <v>4</v>
      </c>
      <c r="V10" s="144"/>
      <c r="W10" s="181"/>
    </row>
    <row r="11" spans="1:23" ht="26.15" customHeight="1" thickTop="1" thickBot="1" x14ac:dyDescent="0.4">
      <c r="A11" s="184"/>
      <c r="B11" s="176"/>
      <c r="C11" s="615"/>
      <c r="D11" s="616"/>
      <c r="E11" s="616"/>
      <c r="F11" s="617"/>
      <c r="G11" s="176"/>
      <c r="H11" s="64"/>
      <c r="I11" s="185" t="s">
        <v>89</v>
      </c>
      <c r="J11" s="185" t="s">
        <v>198</v>
      </c>
      <c r="K11" s="185" t="s">
        <v>199</v>
      </c>
      <c r="L11" s="64"/>
      <c r="M11" s="144"/>
      <c r="N11" s="631" t="s">
        <v>22</v>
      </c>
      <c r="O11" s="631"/>
      <c r="P11" s="631"/>
      <c r="Q11" s="418" t="s">
        <v>23</v>
      </c>
      <c r="R11" s="144"/>
      <c r="S11" s="144"/>
      <c r="T11" s="178">
        <v>88</v>
      </c>
      <c r="U11" s="178">
        <v>5</v>
      </c>
      <c r="V11" s="144"/>
      <c r="W11" s="181"/>
    </row>
    <row r="12" spans="1:23" ht="18.649999999999999" customHeight="1" thickTop="1" thickBot="1" x14ac:dyDescent="0.4">
      <c r="A12" s="180"/>
      <c r="B12" s="176"/>
      <c r="C12" s="618" t="s">
        <v>200</v>
      </c>
      <c r="D12" s="619"/>
      <c r="E12" s="619"/>
      <c r="F12" s="620"/>
      <c r="G12" s="176"/>
      <c r="H12" s="64"/>
      <c r="I12" s="186" t="s">
        <v>195</v>
      </c>
      <c r="J12" s="187" cm="1">
        <f t="array" ref="J12">_xlfn.IFS(AND(K10_Yes_No="", K3_Yes_No=""),"Please Select Yes or No",AND(K10_Yes_No="Yes", K3_Yes_No="Yes"),0.4,AND(K10_Yes_No="No", K3_Yes_No="Yes"),0.35, AND(K3_Yes_No="No", K10_Yes_No="No"), 0, AND(K3_Yes_No="No", K10_Yes_No="Yes"), 0)</f>
        <v>0.35</v>
      </c>
      <c r="K12" s="188" cm="1">
        <f t="array" ref="K12">_xlfn.IFS(Promo4th_weight="Please Select Yes or No",0,Promo4th_weight&lt;&gt;"Please Select Yes or No",Promo4th*Promo4th_weight)</f>
        <v>0</v>
      </c>
      <c r="L12" s="64"/>
      <c r="M12" s="144"/>
      <c r="N12" s="189">
        <v>0.88</v>
      </c>
      <c r="O12" s="190" t="s">
        <v>201</v>
      </c>
      <c r="P12" s="191">
        <v>1</v>
      </c>
      <c r="Q12" s="192">
        <v>5</v>
      </c>
      <c r="R12" s="144"/>
      <c r="S12" s="611" t="s">
        <v>202</v>
      </c>
      <c r="T12" s="611"/>
      <c r="U12" s="611"/>
      <c r="V12" s="611"/>
      <c r="W12" s="181"/>
    </row>
    <row r="13" spans="1:23" ht="22" thickTop="1" thickBot="1" x14ac:dyDescent="0.5">
      <c r="A13" s="182" t="s">
        <v>203</v>
      </c>
      <c r="B13" s="176"/>
      <c r="C13" s="621" t="s">
        <v>65</v>
      </c>
      <c r="D13" s="622"/>
      <c r="E13" s="622"/>
      <c r="F13" s="623"/>
      <c r="G13" s="176"/>
      <c r="H13" s="64"/>
      <c r="I13" s="186" t="s">
        <v>203</v>
      </c>
      <c r="J13" s="187" cm="1">
        <f t="array" ref="J13">_xlfn.IFS(AND(K10_Yes_No="", K3_Yes_No=""),"Please Select Yes or No",AND(K10_Yes_No="Yes", K3_Yes_No="Yes"),0.6,AND(K10_Yes_No="No", K3_Yes_No="Yes"),0.4, AND(K10_Yes_No="Yes", K3_Yes_No="No"),0, AND(K10_Yes_No="No", K3_Yes_No="No"), 0)</f>
        <v>0.4</v>
      </c>
      <c r="K13" s="188" cm="1">
        <f t="array" ref="K13">_xlfn.IFS(Prof3rd_weight="Please Select Yes or No",0,Prof3rd_weight&lt;&gt;"Please Select Yes or No",Prof3rd*Prof3rd_weight)</f>
        <v>0</v>
      </c>
      <c r="L13" s="64"/>
      <c r="M13" s="144"/>
      <c r="N13" s="189">
        <v>0.78</v>
      </c>
      <c r="O13" s="190" t="s">
        <v>201</v>
      </c>
      <c r="P13" s="191">
        <v>0.88</v>
      </c>
      <c r="Q13" s="192">
        <v>4</v>
      </c>
      <c r="R13" s="144"/>
      <c r="S13" s="611"/>
      <c r="T13" s="611"/>
      <c r="U13" s="611"/>
      <c r="V13" s="611"/>
      <c r="W13" s="181"/>
    </row>
    <row r="14" spans="1:23" ht="15.5" thickTop="1" thickBot="1" x14ac:dyDescent="0.4">
      <c r="A14" s="183" t="s">
        <v>196</v>
      </c>
      <c r="B14" s="176"/>
      <c r="C14" s="176"/>
      <c r="D14" s="176"/>
      <c r="E14" s="176"/>
      <c r="F14" s="176"/>
      <c r="G14" s="176"/>
      <c r="H14" s="64"/>
      <c r="I14" s="186" t="s">
        <v>204</v>
      </c>
      <c r="J14" s="187" cm="1">
        <f t="array" ref="J14">_xlfn.IFS(AND(K10_Yes_No="", K3_Yes_No=""),"Please Select Yes or No",AND(K10_Yes_No="Yes", K3_Yes_No="Yes"),0,AND(K10_Yes_No="Yes", K3_Yes_No="No"),0,AND(K10_Yes_No="No", K3_Yes_No="Yes"),0.25, AND(K10_Yes_No="No", K3_Yes_No="No"),1)</f>
        <v>0.25</v>
      </c>
      <c r="K14" s="188" cm="1">
        <f t="array" ref="K14">_xlfn.IFS(Imporv3rd_weight="Please Select Yes or No",0,Imporv3rd_weight&lt;&gt;"Please Select Yes or No",Improvk3*Imporv3rd_weight)</f>
        <v>0</v>
      </c>
      <c r="L14" s="64"/>
      <c r="M14" s="144"/>
      <c r="N14" s="189">
        <v>0.68</v>
      </c>
      <c r="O14" s="190" t="s">
        <v>201</v>
      </c>
      <c r="P14" s="191">
        <v>0.78</v>
      </c>
      <c r="Q14" s="192">
        <v>3</v>
      </c>
      <c r="R14" s="144"/>
      <c r="S14" s="633" t="str">
        <f>IF(Total_Weighted_Points=0,"",VLOOKUP(Total_Weighted_Points,T7:U11,2,TRUE))</f>
        <v/>
      </c>
      <c r="T14" s="633"/>
      <c r="U14" s="633"/>
      <c r="V14" s="633"/>
      <c r="W14" s="181"/>
    </row>
    <row r="15" spans="1:23" ht="27" thickTop="1" thickBot="1" x14ac:dyDescent="0.4">
      <c r="A15" s="184"/>
      <c r="B15" s="176"/>
      <c r="C15" s="176"/>
      <c r="D15" s="176"/>
      <c r="E15" s="176"/>
      <c r="F15" s="176"/>
      <c r="G15" s="176"/>
      <c r="H15" s="64"/>
      <c r="I15" s="64"/>
      <c r="J15" s="177"/>
      <c r="K15" s="64"/>
      <c r="L15" s="64"/>
      <c r="M15" s="144"/>
      <c r="N15" s="189">
        <v>0.57999999999999996</v>
      </c>
      <c r="O15" s="190" t="s">
        <v>201</v>
      </c>
      <c r="P15" s="191">
        <v>0.68</v>
      </c>
      <c r="Q15" s="192">
        <v>2</v>
      </c>
      <c r="R15" s="144"/>
      <c r="S15" s="633"/>
      <c r="T15" s="633"/>
      <c r="U15" s="633"/>
      <c r="V15" s="633"/>
      <c r="W15" s="181"/>
    </row>
    <row r="16" spans="1:23" ht="16.5" thickTop="1" x14ac:dyDescent="0.35">
      <c r="A16" s="180"/>
      <c r="B16" s="176"/>
      <c r="C16" s="634" t="s">
        <v>205</v>
      </c>
      <c r="D16" s="635"/>
      <c r="E16" s="635"/>
      <c r="F16" s="636"/>
      <c r="G16" s="193"/>
      <c r="H16" s="64"/>
      <c r="I16" s="64"/>
      <c r="J16" s="64"/>
      <c r="K16" s="194" t="s">
        <v>206</v>
      </c>
      <c r="L16" s="64"/>
      <c r="M16" s="144"/>
      <c r="N16" s="189">
        <v>0</v>
      </c>
      <c r="O16" s="190" t="s">
        <v>201</v>
      </c>
      <c r="P16" s="191">
        <v>0.57999999999999996</v>
      </c>
      <c r="Q16" s="192">
        <v>1</v>
      </c>
      <c r="R16" s="144"/>
      <c r="S16" s="144"/>
      <c r="T16" s="144"/>
      <c r="U16" s="144"/>
      <c r="V16" s="144"/>
      <c r="W16" s="181"/>
    </row>
    <row r="17" spans="1:23" ht="18.649999999999999" customHeight="1" x14ac:dyDescent="0.45">
      <c r="A17" s="182" t="s">
        <v>207</v>
      </c>
      <c r="B17" s="176"/>
      <c r="C17" s="637"/>
      <c r="D17" s="638"/>
      <c r="E17" s="638"/>
      <c r="F17" s="639"/>
      <c r="G17" s="193"/>
      <c r="H17" s="64"/>
      <c r="I17" s="64"/>
      <c r="J17" s="64"/>
      <c r="K17" s="195">
        <f>SUM(K12:K14)</f>
        <v>0</v>
      </c>
      <c r="L17" s="64"/>
      <c r="M17" s="144"/>
      <c r="N17" s="144"/>
      <c r="O17" s="144"/>
      <c r="P17" s="144"/>
      <c r="Q17" s="144"/>
      <c r="R17" s="144"/>
      <c r="S17" s="144"/>
      <c r="T17" s="144"/>
      <c r="U17" s="144"/>
      <c r="V17" s="144"/>
      <c r="W17" s="181"/>
    </row>
    <row r="18" spans="1:23" ht="15.65" customHeight="1" thickBot="1" x14ac:dyDescent="0.4">
      <c r="A18" s="183" t="s">
        <v>196</v>
      </c>
      <c r="B18" s="176"/>
      <c r="C18" s="640" t="s">
        <v>200</v>
      </c>
      <c r="D18" s="640"/>
      <c r="E18" s="640"/>
      <c r="F18" s="640"/>
      <c r="G18" s="196"/>
      <c r="H18" s="64"/>
      <c r="I18" s="64"/>
      <c r="J18" s="177"/>
      <c r="K18" s="64"/>
      <c r="L18" s="64"/>
      <c r="M18" s="144"/>
      <c r="N18" s="144"/>
      <c r="O18" s="144"/>
      <c r="P18" s="144"/>
      <c r="Q18" s="144"/>
      <c r="R18" s="144"/>
      <c r="S18" s="144"/>
      <c r="T18" s="144"/>
      <c r="U18" s="144"/>
      <c r="V18" s="144"/>
      <c r="W18" s="181"/>
    </row>
    <row r="19" spans="1:23" ht="27" thickTop="1" thickBot="1" x14ac:dyDescent="0.4">
      <c r="A19" s="184"/>
      <c r="B19" s="197"/>
      <c r="C19" s="641" t="s">
        <v>208</v>
      </c>
      <c r="D19" s="642"/>
      <c r="E19" s="642"/>
      <c r="F19" s="643"/>
      <c r="G19" s="198"/>
      <c r="H19" s="64"/>
      <c r="I19" s="64"/>
      <c r="J19" s="177"/>
      <c r="K19" s="64"/>
      <c r="L19" s="64"/>
      <c r="M19" s="144"/>
      <c r="N19" s="144"/>
      <c r="O19" s="144"/>
      <c r="P19" s="144"/>
      <c r="Q19" s="144"/>
      <c r="R19" s="144"/>
      <c r="S19" s="144"/>
      <c r="T19" s="144"/>
      <c r="U19" s="144"/>
      <c r="V19" s="144"/>
      <c r="W19" s="181"/>
    </row>
    <row r="20" spans="1:23" ht="15.5" thickTop="1" thickBot="1" x14ac:dyDescent="0.4">
      <c r="A20" s="199"/>
      <c r="B20" s="200"/>
      <c r="C20" s="201"/>
      <c r="D20" s="202" t="s">
        <v>208</v>
      </c>
      <c r="E20" s="202" t="s">
        <v>65</v>
      </c>
      <c r="F20" s="200"/>
      <c r="G20" s="200"/>
      <c r="H20" s="203"/>
      <c r="I20" s="203"/>
      <c r="J20" s="204"/>
      <c r="K20" s="203"/>
      <c r="L20" s="203"/>
      <c r="M20" s="205"/>
      <c r="N20" s="205"/>
      <c r="O20" s="205"/>
      <c r="P20" s="205"/>
      <c r="Q20" s="205"/>
      <c r="R20" s="205"/>
      <c r="S20" s="205"/>
      <c r="T20" s="205"/>
      <c r="U20" s="205"/>
      <c r="V20" s="205"/>
      <c r="W20" s="206"/>
    </row>
    <row r="21" spans="1:23" ht="15" thickTop="1" x14ac:dyDescent="0.35"/>
    <row r="22" spans="1:23" x14ac:dyDescent="0.35">
      <c r="A22" s="632" t="s">
        <v>42</v>
      </c>
      <c r="B22" s="632"/>
    </row>
    <row r="23" spans="1:23" x14ac:dyDescent="0.35">
      <c r="A23" s="417" t="s">
        <v>43</v>
      </c>
      <c r="B23" s="207"/>
    </row>
    <row r="25" spans="1:23" x14ac:dyDescent="0.35">
      <c r="A25" s="207"/>
    </row>
    <row r="26" spans="1:23" x14ac:dyDescent="0.35">
      <c r="A26" s="417"/>
    </row>
  </sheetData>
  <sheetProtection sheet="1" objects="1" scenarios="1"/>
  <protectedRanges>
    <protectedRange sqref="C19" name="K10yesno"/>
    <protectedRange sqref="A11 A15 A19" name="promo4th"/>
  </protectedRanges>
  <mergeCells count="13">
    <mergeCell ref="A22:B22"/>
    <mergeCell ref="S14:V15"/>
    <mergeCell ref="C16:F17"/>
    <mergeCell ref="C18:F18"/>
    <mergeCell ref="C19:F19"/>
    <mergeCell ref="S12:V13"/>
    <mergeCell ref="C10:F11"/>
    <mergeCell ref="C12:F12"/>
    <mergeCell ref="C13:F13"/>
    <mergeCell ref="A6:G6"/>
    <mergeCell ref="H6:L6"/>
    <mergeCell ref="M6:W6"/>
    <mergeCell ref="N11:P11"/>
  </mergeCells>
  <conditionalFormatting sqref="J12:J14">
    <cfRule type="containsText" dxfId="0" priority="1" operator="containsText" text="Please">
      <formula>NOT(ISERROR(SEARCH("Please",J12)))</formula>
    </cfRule>
  </conditionalFormatting>
  <dataValidations count="6">
    <dataValidation type="list" allowBlank="1" showInputMessage="1" showErrorMessage="1" sqref="G19" xr:uid="{72D4EA25-CE69-420F-801B-AD57F31D0807}">
      <formula1>$D$20:$E$20</formula1>
    </dataValidation>
    <dataValidation type="list" allowBlank="1" showInputMessage="1" showErrorMessage="1" promptTitle="&lt;Select Yes or No&gt;" prompt="Selecting Yes indicates that the District(School) will have a Promotion to 4th Grade and Proficiency in 3rd Grade Reading/" sqref="C13:F13" xr:uid="{5B172734-AA83-499B-A822-3148C4601A51}">
      <formula1>"Yes,No"</formula1>
    </dataValidation>
    <dataValidation type="list" allowBlank="1" showInputMessage="1" showErrorMessage="1" promptTitle="&lt;Select Yes or No&gt;" prompt="Selecting Yes indicates that over 90% of KG students tested as &quot;on track&quot; indicating that there will be no K-3 Literacy measure rating" sqref="C19:F19" xr:uid="{7EE04F70-07C0-4095-9DA1-39D469DFF575}">
      <formula1>$D$20:$E$20</formula1>
    </dataValidation>
    <dataValidation type="decimal" allowBlank="1" showInputMessage="1" showErrorMessage="1" promptTitle="&lt;% of 3rd Graders promoted 4th&gt;" prompt="This information can be found:_x000a_*Report Card Page- Early Literacy Page_x000a_*SDC- Local Report Card&gt;&gt;District(School) Report Card&gt;&gt;Early Literacy OR Improving at Risk K-3 Readers&gt;&gt;District(School) TGRG&gt;&gt;Subject to TGRG-Overview" sqref="A11" xr:uid="{9AEF8AFD-6268-47A6-9A54-DBC2DB3EFE21}">
      <formula1>0</formula1>
      <formula2>100</formula2>
    </dataValidation>
    <dataValidation type="decimal" allowBlank="1" showInputMessage="1" showErrorMessage="1" promptTitle="&lt;Proficient in 3rd Reading %&gt;" prompt="This information can be found:_x000a_*Report Card Page- Early Literacy Page_x000a_*SDC- Local Report Card&gt;&gt;District(School) Report Card&gt;&gt;Early Literacy OR Improving at Risk K-3 Readers&gt;&gt;District(School) Reading Subscore&gt;&gt;Demographic Overview" sqref="A15" xr:uid="{9232ED6C-022A-4F0A-910C-028398EB6BDA}">
      <formula1>0</formula1>
      <formula2>100</formula2>
    </dataValidation>
    <dataValidation type="decimal" allowBlank="1" showInputMessage="1" showErrorMessage="1" promptTitle="&lt;Improving K-3 Literacy %&gt;" prompt="This information can be found:_x000a_*Report Card Page- Early Literacy Page_x000a_*SDC- Local Report Card&gt;&gt;District(School) Report Card&gt;&gt;Early Literacy OR Improving at Risk K-3 Readers&gt;&gt;District(School) Improving At-Risk K-3 Readers-Overview" sqref="A19" xr:uid="{0D523D2E-2B51-487D-B0F3-69F4548C6161}">
      <formula1>0</formula1>
      <formula2>100</formula2>
    </dataValidation>
  </dataValidations>
  <hyperlinks>
    <hyperlink ref="A22:B22" r:id="rId1" display="Technical Document" xr:uid="{501E0D87-D837-4E24-B383-EDF9FE56E767}"/>
    <hyperlink ref="A23" r:id="rId2" xr:uid="{C5880F58-DC67-45B6-96DD-BAE6E87DE3EC}"/>
  </hyperlinks>
  <pageMargins left="0.7" right="0.7" top="0.75" bottom="0.75" header="0.3" footer="0.3"/>
  <pageSetup orientation="portrait" horizontalDpi="1200" verticalDpi="120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81AB-F54D-48AF-8471-4F47419737DE}">
  <dimension ref="A1:AB21"/>
  <sheetViews>
    <sheetView zoomScale="91" zoomScaleNormal="91" workbookViewId="0"/>
  </sheetViews>
  <sheetFormatPr defaultColWidth="9.1796875" defaultRowHeight="14.5" x14ac:dyDescent="0.35"/>
  <cols>
    <col min="1" max="1" width="32" style="2" customWidth="1"/>
    <col min="2" max="2" width="46.1796875" style="2" bestFit="1" customWidth="1"/>
    <col min="3" max="3" width="66.1796875" style="2" customWidth="1"/>
    <col min="4" max="5" width="5.1796875" style="2" customWidth="1"/>
    <col min="6" max="6" width="13.7265625" style="2" bestFit="1" customWidth="1"/>
    <col min="7" max="7" width="28" style="2" bestFit="1" customWidth="1"/>
    <col min="8" max="8" width="23.7265625" style="2" bestFit="1" customWidth="1"/>
    <col min="9" max="9" width="33.7265625" style="2" bestFit="1" customWidth="1"/>
    <col min="10" max="11" width="6.81640625" style="2" customWidth="1"/>
    <col min="12" max="12" width="19.7265625" style="2" customWidth="1"/>
    <col min="13" max="13" width="4.54296875" style="2" customWidth="1"/>
    <col min="14" max="14" width="17.7265625" style="2" customWidth="1"/>
    <col min="15" max="16" width="9.1796875" style="2"/>
    <col min="17" max="17" width="13.7265625" style="2" customWidth="1"/>
    <col min="18" max="18" width="9.1796875" style="2"/>
    <col min="19" max="19" width="14" style="2" customWidth="1"/>
    <col min="20" max="16384" width="9.1796875" style="2"/>
  </cols>
  <sheetData>
    <row r="1" spans="1:28" ht="15.75" customHeight="1" x14ac:dyDescent="0.55000000000000004">
      <c r="A1" s="1" t="s">
        <v>7</v>
      </c>
      <c r="B1" s="138"/>
      <c r="C1" s="138"/>
      <c r="D1" s="138"/>
      <c r="E1" s="138"/>
      <c r="F1" s="138"/>
      <c r="G1" s="138"/>
      <c r="H1" s="138"/>
      <c r="I1" s="138"/>
      <c r="J1" s="138"/>
      <c r="K1" s="138"/>
      <c r="L1" s="138"/>
      <c r="M1" s="138"/>
      <c r="N1" s="138"/>
      <c r="O1" s="138"/>
      <c r="P1" s="138"/>
      <c r="Q1" s="138"/>
      <c r="R1" s="138"/>
      <c r="S1" s="138"/>
      <c r="T1" s="138"/>
      <c r="U1" s="138"/>
      <c r="V1" s="139"/>
      <c r="W1" s="139"/>
      <c r="X1" s="139"/>
      <c r="Y1" s="139"/>
      <c r="Z1" s="139"/>
      <c r="AA1" s="139"/>
      <c r="AB1" s="139"/>
    </row>
    <row r="2" spans="1:28" ht="49.5" customHeight="1" x14ac:dyDescent="0.55000000000000004">
      <c r="A2" s="644" t="s">
        <v>209</v>
      </c>
      <c r="B2" s="644"/>
      <c r="C2" s="138"/>
      <c r="D2" s="138"/>
      <c r="E2" s="138"/>
      <c r="F2" s="138"/>
      <c r="G2" s="138"/>
      <c r="H2" s="138"/>
      <c r="I2" s="138"/>
      <c r="J2" s="138"/>
      <c r="K2" s="138"/>
      <c r="L2" s="138"/>
      <c r="M2" s="138"/>
      <c r="N2" s="138"/>
      <c r="O2" s="138"/>
      <c r="P2" s="138"/>
      <c r="Q2" s="138"/>
      <c r="R2" s="138"/>
      <c r="S2" s="138"/>
      <c r="T2" s="138"/>
      <c r="U2" s="138"/>
      <c r="V2" s="139"/>
      <c r="W2" s="139"/>
      <c r="X2" s="139"/>
      <c r="Y2" s="139"/>
      <c r="Z2" s="139"/>
      <c r="AA2" s="139"/>
      <c r="AB2" s="139"/>
    </row>
    <row r="5" spans="1:28" ht="23.5" x14ac:dyDescent="0.55000000000000004">
      <c r="A5" s="649" t="s">
        <v>210</v>
      </c>
      <c r="B5" s="650"/>
      <c r="C5" s="650"/>
      <c r="D5" s="650"/>
      <c r="E5" s="651" t="s">
        <v>194</v>
      </c>
      <c r="F5" s="651"/>
      <c r="G5" s="651"/>
      <c r="H5" s="651"/>
      <c r="I5" s="651"/>
      <c r="J5" s="651"/>
      <c r="K5" s="654" t="s">
        <v>211</v>
      </c>
      <c r="L5" s="655"/>
      <c r="M5" s="655"/>
      <c r="N5" s="655"/>
      <c r="O5" s="655"/>
      <c r="P5" s="655"/>
      <c r="Q5" s="655"/>
      <c r="R5" s="655"/>
      <c r="S5" s="655"/>
      <c r="T5" s="655"/>
    </row>
    <row r="6" spans="1:28" ht="16.5" customHeight="1" x14ac:dyDescent="0.55000000000000004">
      <c r="A6" s="140"/>
      <c r="B6" s="141"/>
      <c r="C6" s="141"/>
      <c r="D6" s="141"/>
      <c r="E6" s="142"/>
      <c r="F6" s="142"/>
      <c r="G6" s="142"/>
      <c r="H6" s="142"/>
      <c r="I6" s="142"/>
      <c r="J6" s="142"/>
      <c r="K6" s="143"/>
      <c r="L6" s="143"/>
      <c r="M6" s="16"/>
      <c r="N6" s="16"/>
      <c r="O6" s="16"/>
      <c r="P6" s="16"/>
      <c r="Q6" s="16"/>
      <c r="R6" s="16"/>
      <c r="S6" s="16"/>
      <c r="T6" s="16"/>
    </row>
    <row r="7" spans="1:28" ht="15.65" customHeight="1" x14ac:dyDescent="0.55000000000000004">
      <c r="A7" s="140"/>
      <c r="B7" s="141"/>
      <c r="C7" s="141"/>
      <c r="D7" s="141"/>
      <c r="E7" s="142"/>
      <c r="F7" s="142"/>
      <c r="G7" s="142"/>
      <c r="H7" s="142"/>
      <c r="I7" s="142"/>
      <c r="J7" s="142"/>
      <c r="K7" s="143"/>
      <c r="L7" s="143"/>
      <c r="M7" s="16"/>
      <c r="N7" s="16"/>
      <c r="O7" s="16"/>
      <c r="P7" s="16"/>
      <c r="Q7" s="16"/>
      <c r="R7" s="16"/>
      <c r="S7" s="16"/>
      <c r="T7" s="16"/>
    </row>
    <row r="8" spans="1:28" ht="17.149999999999999" customHeight="1" x14ac:dyDescent="0.55000000000000004">
      <c r="A8" s="140"/>
      <c r="B8" s="140"/>
      <c r="C8" s="141"/>
      <c r="D8" s="140"/>
      <c r="E8" s="142"/>
      <c r="F8" s="21"/>
      <c r="G8" s="21"/>
      <c r="H8" s="21"/>
      <c r="I8" s="21"/>
      <c r="J8" s="21"/>
      <c r="K8" s="16"/>
      <c r="L8" s="144"/>
      <c r="M8" s="16"/>
      <c r="N8" s="16"/>
      <c r="O8" s="16"/>
      <c r="P8" s="16"/>
      <c r="Q8" s="16"/>
      <c r="R8" s="16"/>
      <c r="S8" s="16"/>
      <c r="T8" s="16"/>
    </row>
    <row r="9" spans="1:28" ht="27.65" customHeight="1" x14ac:dyDescent="0.35">
      <c r="A9" s="141"/>
      <c r="B9" s="141"/>
      <c r="C9" s="141"/>
      <c r="D9" s="141"/>
      <c r="E9" s="64"/>
      <c r="F9" s="21"/>
      <c r="G9" s="21"/>
      <c r="H9" s="21"/>
      <c r="I9" s="64"/>
      <c r="J9" s="64"/>
      <c r="K9" s="144"/>
      <c r="L9" s="652" t="s">
        <v>212</v>
      </c>
      <c r="M9" s="653"/>
      <c r="N9" s="653"/>
      <c r="O9" s="145" t="s">
        <v>23</v>
      </c>
      <c r="P9" s="144"/>
      <c r="Q9" s="144"/>
      <c r="R9" s="144"/>
      <c r="S9" s="144"/>
      <c r="T9" s="144"/>
    </row>
    <row r="10" spans="1:28" ht="19" thickBot="1" x14ac:dyDescent="0.5">
      <c r="A10" s="146" t="s">
        <v>213</v>
      </c>
      <c r="B10" s="146" t="s">
        <v>214</v>
      </c>
      <c r="C10" s="147" t="s">
        <v>215</v>
      </c>
      <c r="D10" s="141"/>
      <c r="E10" s="64"/>
      <c r="F10" s="148" t="s">
        <v>198</v>
      </c>
      <c r="G10" s="148" t="s">
        <v>216</v>
      </c>
      <c r="H10" s="64"/>
      <c r="I10" s="46"/>
      <c r="J10" s="46"/>
      <c r="K10" s="149"/>
      <c r="L10" s="150">
        <v>0.96499999999999997</v>
      </c>
      <c r="M10" s="151" t="s">
        <v>217</v>
      </c>
      <c r="N10" s="152">
        <v>1</v>
      </c>
      <c r="O10" s="153" t="s">
        <v>37</v>
      </c>
      <c r="P10" s="144"/>
      <c r="Q10" s="144"/>
      <c r="R10" s="144"/>
      <c r="S10" s="144"/>
      <c r="T10" s="144"/>
    </row>
    <row r="11" spans="1:28" ht="19.5" thickTop="1" thickBot="1" x14ac:dyDescent="0.5">
      <c r="A11" s="154"/>
      <c r="B11" s="154"/>
      <c r="C11" s="155" t="e">
        <f>A11/B11</f>
        <v>#DIV/0!</v>
      </c>
      <c r="D11" s="141"/>
      <c r="E11" s="64"/>
      <c r="F11" s="156">
        <f>IF(B11 &lt; 10,0,IF(B14&lt;10,1,0.6))</f>
        <v>0</v>
      </c>
      <c r="G11" s="157" t="e">
        <f>C11*F11</f>
        <v>#DIV/0!</v>
      </c>
      <c r="H11" s="46"/>
      <c r="I11" s="148" t="s">
        <v>218</v>
      </c>
      <c r="J11" s="46"/>
      <c r="K11" s="149"/>
      <c r="L11" s="150">
        <v>0.93500000000000005</v>
      </c>
      <c r="M11" s="151" t="s">
        <v>217</v>
      </c>
      <c r="N11" s="152">
        <v>0.96499999999999997</v>
      </c>
      <c r="O11" s="153" t="s">
        <v>33</v>
      </c>
      <c r="P11" s="144"/>
      <c r="Q11" s="646" t="s">
        <v>211</v>
      </c>
      <c r="R11" s="647"/>
      <c r="S11" s="648"/>
      <c r="T11" s="144"/>
    </row>
    <row r="12" spans="1:28" ht="19" thickTop="1" x14ac:dyDescent="0.45">
      <c r="A12" s="158"/>
      <c r="B12" s="158"/>
      <c r="C12" s="141"/>
      <c r="D12" s="141"/>
      <c r="E12" s="64"/>
      <c r="F12" s="159"/>
      <c r="G12" s="159"/>
      <c r="H12" s="159"/>
      <c r="I12" s="156" t="e">
        <f>G11+G14</f>
        <v>#DIV/0!</v>
      </c>
      <c r="J12" s="159"/>
      <c r="K12" s="160"/>
      <c r="L12" s="161">
        <v>0.9</v>
      </c>
      <c r="M12" s="151" t="s">
        <v>217</v>
      </c>
      <c r="N12" s="152">
        <v>0.93500000000000005</v>
      </c>
      <c r="O12" s="153" t="s">
        <v>31</v>
      </c>
      <c r="P12" s="144"/>
      <c r="Q12" s="645" t="e">
        <f>IF(I12&gt;=L10,O10,IF(I12&gt;=L11,O11,IF(I12&gt;=L12,O12,IF(I12&gt;=L13,O13,O14))))</f>
        <v>#DIV/0!</v>
      </c>
      <c r="R12" s="645"/>
      <c r="S12" s="645"/>
      <c r="T12" s="144"/>
    </row>
    <row r="13" spans="1:28" ht="19" thickBot="1" x14ac:dyDescent="0.5">
      <c r="A13" s="162" t="s">
        <v>219</v>
      </c>
      <c r="B13" s="162" t="s">
        <v>220</v>
      </c>
      <c r="C13" s="163" t="s">
        <v>221</v>
      </c>
      <c r="D13" s="141"/>
      <c r="E13" s="64"/>
      <c r="F13" s="164" t="s">
        <v>198</v>
      </c>
      <c r="G13" s="164" t="s">
        <v>222</v>
      </c>
      <c r="H13" s="159"/>
      <c r="I13" s="165"/>
      <c r="J13" s="64"/>
      <c r="K13" s="144"/>
      <c r="L13" s="161">
        <v>0.84</v>
      </c>
      <c r="M13" s="151" t="s">
        <v>217</v>
      </c>
      <c r="N13" s="166">
        <v>0.9</v>
      </c>
      <c r="O13" s="153" t="s">
        <v>29</v>
      </c>
      <c r="P13" s="144"/>
      <c r="Q13" s="144"/>
      <c r="R13" s="144"/>
      <c r="S13" s="144"/>
      <c r="T13" s="144"/>
    </row>
    <row r="14" spans="1:28" ht="19.5" thickTop="1" thickBot="1" x14ac:dyDescent="0.5">
      <c r="A14" s="154"/>
      <c r="B14" s="154"/>
      <c r="C14" s="155" t="e">
        <f>A14/B14</f>
        <v>#DIV/0!</v>
      </c>
      <c r="D14" s="141"/>
      <c r="E14" s="64"/>
      <c r="F14" s="156">
        <f>IF(B14&lt;10,0,IF(B11&lt;10,1,0.4))</f>
        <v>0</v>
      </c>
      <c r="G14" s="157" t="e">
        <f>C14*F14</f>
        <v>#DIV/0!</v>
      </c>
      <c r="H14" s="64"/>
      <c r="I14" s="64"/>
      <c r="J14" s="64"/>
      <c r="K14" s="144"/>
      <c r="L14" s="167">
        <v>0</v>
      </c>
      <c r="M14" s="168" t="s">
        <v>217</v>
      </c>
      <c r="N14" s="169">
        <v>0.84</v>
      </c>
      <c r="O14" s="170" t="s">
        <v>26</v>
      </c>
      <c r="P14" s="144"/>
      <c r="Q14" s="144"/>
      <c r="R14" s="144"/>
      <c r="S14" s="144"/>
      <c r="T14" s="144"/>
    </row>
    <row r="15" spans="1:28" ht="15" thickTop="1" x14ac:dyDescent="0.35">
      <c r="A15" s="141"/>
      <c r="B15" s="141"/>
      <c r="C15" s="141"/>
      <c r="D15" s="141"/>
      <c r="E15" s="64"/>
      <c r="F15" s="64"/>
      <c r="G15" s="64"/>
      <c r="H15" s="64"/>
      <c r="I15" s="46"/>
      <c r="J15" s="46"/>
      <c r="K15" s="149"/>
      <c r="L15" s="171"/>
      <c r="M15" s="16"/>
      <c r="N15" s="171"/>
      <c r="O15" s="16"/>
      <c r="P15" s="144"/>
      <c r="Q15" s="144"/>
      <c r="R15" s="144"/>
      <c r="S15" s="144"/>
      <c r="T15" s="144"/>
    </row>
    <row r="16" spans="1:28" x14ac:dyDescent="0.35">
      <c r="A16" s="141"/>
      <c r="B16" s="141"/>
      <c r="C16" s="141"/>
      <c r="D16" s="141"/>
      <c r="E16" s="64"/>
      <c r="F16" s="64"/>
      <c r="G16" s="46"/>
      <c r="H16" s="46"/>
      <c r="I16" s="159"/>
      <c r="J16" s="159"/>
      <c r="K16" s="160"/>
      <c r="L16" s="144"/>
      <c r="M16" s="144"/>
      <c r="N16" s="144"/>
      <c r="O16" s="144"/>
      <c r="P16" s="144"/>
      <c r="Q16" s="144"/>
      <c r="R16" s="144"/>
      <c r="S16" s="144"/>
      <c r="T16" s="144"/>
    </row>
    <row r="17" spans="1:20" x14ac:dyDescent="0.35">
      <c r="A17" s="141"/>
      <c r="B17" s="141"/>
      <c r="C17" s="141"/>
      <c r="D17" s="141"/>
      <c r="E17" s="64"/>
      <c r="F17" s="64"/>
      <c r="G17" s="64"/>
      <c r="H17" s="159"/>
      <c r="I17" s="159"/>
      <c r="J17" s="64"/>
      <c r="K17" s="144"/>
      <c r="L17" s="144"/>
      <c r="M17" s="144"/>
      <c r="N17" s="144"/>
      <c r="O17" s="144"/>
      <c r="P17" s="144"/>
      <c r="Q17" s="144"/>
      <c r="R17" s="144"/>
      <c r="S17" s="144"/>
      <c r="T17" s="144"/>
    </row>
    <row r="18" spans="1:20" x14ac:dyDescent="0.35">
      <c r="A18" s="141"/>
      <c r="B18" s="141"/>
      <c r="C18" s="141"/>
      <c r="D18" s="141"/>
      <c r="E18" s="64"/>
      <c r="F18" s="64"/>
      <c r="G18" s="64"/>
      <c r="H18" s="64"/>
      <c r="I18" s="64"/>
      <c r="J18" s="64"/>
      <c r="K18" s="144"/>
      <c r="L18" s="144"/>
      <c r="M18" s="144"/>
      <c r="N18" s="144"/>
      <c r="O18" s="144"/>
      <c r="P18" s="144"/>
      <c r="Q18" s="144"/>
      <c r="R18" s="144"/>
      <c r="S18" s="144"/>
      <c r="T18" s="144"/>
    </row>
    <row r="20" spans="1:20" x14ac:dyDescent="0.35">
      <c r="A20" s="423" t="s">
        <v>42</v>
      </c>
    </row>
    <row r="21" spans="1:20" x14ac:dyDescent="0.35">
      <c r="A21" s="172" t="s">
        <v>43</v>
      </c>
    </row>
  </sheetData>
  <sheetProtection sheet="1" objects="1" scenarios="1"/>
  <mergeCells count="7">
    <mergeCell ref="A2:B2"/>
    <mergeCell ref="Q12:S12"/>
    <mergeCell ref="Q11:S11"/>
    <mergeCell ref="A5:D5"/>
    <mergeCell ref="E5:J5"/>
    <mergeCell ref="L9:N9"/>
    <mergeCell ref="K5:T5"/>
  </mergeCells>
  <dataValidations count="4">
    <dataValidation allowBlank="1" showInputMessage="1" showErrorMessage="1" promptTitle="&lt;Enter Graduate count&gt;" prompt="This information can be found:_x000a_*Report Card- Graduation Page_x000a_*SDC- Graduation&gt;&gt;District(School) 4-year Longitudinal Graduation Rate&gt;&gt;Demographic Overview Be sure to update the Graduation Cohort to Prior year as this is lagged a year" sqref="A11" xr:uid="{BC8B6642-B418-4300-A50F-63AC03361020}"/>
    <dataValidation allowBlank="1" showInputMessage="1" showErrorMessage="1" promptTitle="&lt;Enter Graduate count&gt;" prompt="This information can be found:_x000a_*Report Card- Graduation Page_x000a_*SDC- Graduation&gt;&gt;District(School) 5-year Longitudinal Graduation Rate&gt;&gt;Demographic Overview  Be sure to update Graduation Cohort to 2 years prior " sqref="A14" xr:uid="{9CF3B9DA-2D60-467E-BE47-9268E98E3D77}"/>
    <dataValidation allowBlank="1" showInputMessage="1" showErrorMessage="1" promptTitle="&lt;Enter total Prior Yr Grad Cohor" prompt="This information can be found_x000a_*Report Card- Gradutaion page_x000a_*SDC- Graduation&gt;&gt;4-Year Longitudinal Graduation Rate&gt;&gt;Overview  Sum Graduates and Non Graduates for total_x000a_*Advanced Reports-District(School) Dashboards&gt;&gt;4 Year Graduation" sqref="B11" xr:uid="{74D3D511-91F5-4932-A6A3-E9E7181400A8}"/>
    <dataValidation allowBlank="1" showInputMessage="1" showErrorMessage="1" promptTitle="&lt;Enter total Prior Yr Grad Cohor" prompt="This information can be found_x000a_*Report Card- Gradutaion page_x000a_*SDC- Graduation&gt;&gt;5-Year Longitudinal Graduation Rate&gt;&gt;Overview  Sum Graduates and Non Graduates for total_x000a_*Advanced Reports-District(School) Dashboards&gt;&gt;5 Year Graduation" sqref="B14" xr:uid="{FAB26085-F470-409A-A6BF-903E27B9F60D}"/>
  </dataValidations>
  <hyperlinks>
    <hyperlink ref="A20" r:id="rId1" xr:uid="{DCCCA633-FA24-4F1B-B8EB-83913F890E42}"/>
    <hyperlink ref="A21" r:id="rId2" xr:uid="{1621BA57-B451-42B0-A7FD-20D738A37CC7}"/>
  </hyperlinks>
  <pageMargins left="0.7" right="0.7" top="0.75" bottom="0.75" header="0.3" footer="0.3"/>
  <pageSetup orientation="portrait" horizontalDpi="1200" verticalDpi="120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355C1-7E08-4B20-8B58-AE69E95D14D3}">
  <dimension ref="A1:Z168"/>
  <sheetViews>
    <sheetView zoomScale="69" zoomScaleNormal="130" workbookViewId="0"/>
  </sheetViews>
  <sheetFormatPr defaultColWidth="9.1796875" defaultRowHeight="14.5" x14ac:dyDescent="0.35"/>
  <cols>
    <col min="1" max="1" width="13.54296875" style="2" customWidth="1"/>
    <col min="2" max="5" width="9.1796875" style="2"/>
    <col min="6" max="6" width="22.453125" style="2" bestFit="1" customWidth="1"/>
    <col min="7" max="8" width="15.7265625" style="2" customWidth="1"/>
    <col min="9" max="10" width="15.7265625" style="3" customWidth="1"/>
    <col min="11" max="15" width="10.54296875" style="3" customWidth="1"/>
    <col min="16" max="16" width="27.453125" style="3" customWidth="1"/>
    <col min="17" max="17" width="28.81640625" style="3" customWidth="1"/>
    <col min="18" max="18" width="10.54296875" style="3" customWidth="1"/>
    <col min="19" max="19" width="15.26953125" style="3" bestFit="1" customWidth="1"/>
    <col min="20" max="21" width="15.26953125" style="3" customWidth="1"/>
    <col min="22" max="22" width="21.7265625" style="3" bestFit="1" customWidth="1"/>
    <col min="23" max="23" width="21.1796875" style="3" customWidth="1"/>
    <col min="24" max="24" width="10.54296875" style="3" bestFit="1" customWidth="1"/>
    <col min="25" max="25" width="15.26953125" style="3" customWidth="1"/>
    <col min="26" max="26" width="21.7265625" style="3" bestFit="1" customWidth="1"/>
    <col min="27" max="16384" width="9.1796875" style="2"/>
  </cols>
  <sheetData>
    <row r="1" spans="1:26" x14ac:dyDescent="0.35">
      <c r="A1" s="1" t="s">
        <v>7</v>
      </c>
    </row>
    <row r="2" spans="1:26" x14ac:dyDescent="0.35">
      <c r="A2" s="2" t="s">
        <v>223</v>
      </c>
    </row>
    <row r="4" spans="1:26" ht="15" thickBot="1" x14ac:dyDescent="0.4"/>
    <row r="5" spans="1:26" ht="21.5" thickBot="1" x14ac:dyDescent="0.55000000000000004">
      <c r="A5" s="738" t="s">
        <v>224</v>
      </c>
      <c r="B5" s="739"/>
      <c r="C5" s="739"/>
      <c r="D5" s="740"/>
      <c r="E5" s="727" t="s">
        <v>59</v>
      </c>
      <c r="F5" s="728"/>
      <c r="G5" s="728"/>
      <c r="H5" s="728"/>
      <c r="I5" s="728"/>
      <c r="J5" s="728"/>
      <c r="K5" s="728"/>
      <c r="L5" s="728"/>
      <c r="M5" s="728"/>
      <c r="N5" s="728"/>
      <c r="O5" s="728"/>
      <c r="P5" s="728"/>
      <c r="Q5" s="728"/>
      <c r="R5" s="728"/>
      <c r="S5" s="729"/>
      <c r="T5" s="724"/>
      <c r="U5" s="725"/>
      <c r="V5" s="725"/>
      <c r="W5" s="725"/>
      <c r="X5" s="725"/>
      <c r="Y5" s="725"/>
      <c r="Z5" s="726"/>
    </row>
    <row r="6" spans="1:26" ht="30.75" customHeight="1" thickBot="1" x14ac:dyDescent="0.4">
      <c r="A6" s="741" t="s">
        <v>225</v>
      </c>
      <c r="B6" s="536"/>
      <c r="C6" s="536"/>
      <c r="D6" s="537"/>
      <c r="E6" s="4"/>
      <c r="F6" s="5"/>
      <c r="G6" s="5"/>
      <c r="H6" s="5"/>
      <c r="I6" s="6"/>
      <c r="J6" s="6"/>
      <c r="K6" s="6"/>
      <c r="L6" s="6"/>
      <c r="M6" s="6"/>
      <c r="N6" s="6"/>
      <c r="O6" s="6"/>
      <c r="P6" s="6"/>
      <c r="Q6" s="6"/>
      <c r="R6" s="6"/>
      <c r="S6" s="7"/>
      <c r="T6" s="8"/>
      <c r="U6" s="9"/>
      <c r="V6" s="9"/>
      <c r="W6" s="9"/>
      <c r="X6" s="9"/>
      <c r="Y6" s="9"/>
      <c r="Z6" s="10"/>
    </row>
    <row r="7" spans="1:26" ht="15" thickBot="1" x14ac:dyDescent="0.4">
      <c r="A7" s="11"/>
      <c r="B7" s="434"/>
      <c r="C7" s="434"/>
      <c r="D7" s="12"/>
      <c r="E7" s="4"/>
      <c r="F7" s="730" t="s">
        <v>226</v>
      </c>
      <c r="G7" s="731"/>
      <c r="H7" s="731"/>
      <c r="I7" s="731"/>
      <c r="J7" s="732"/>
      <c r="K7" s="13"/>
      <c r="L7" s="13"/>
      <c r="M7" s="13"/>
      <c r="N7" s="13"/>
      <c r="O7" s="13"/>
      <c r="P7" s="13"/>
      <c r="Q7" s="13"/>
      <c r="R7" s="13"/>
      <c r="S7" s="14"/>
      <c r="T7" s="15"/>
      <c r="U7" s="9"/>
      <c r="V7" s="16"/>
      <c r="W7" s="16"/>
      <c r="X7" s="16"/>
      <c r="Y7" s="9"/>
      <c r="Z7" s="17"/>
    </row>
    <row r="8" spans="1:26" x14ac:dyDescent="0.35">
      <c r="A8" s="11"/>
      <c r="B8" s="18"/>
      <c r="C8" s="18"/>
      <c r="D8" s="12"/>
      <c r="E8" s="4"/>
      <c r="F8" s="19" t="s">
        <v>12</v>
      </c>
      <c r="G8" s="689" t="s">
        <v>227</v>
      </c>
      <c r="H8" s="689"/>
      <c r="I8" s="689"/>
      <c r="J8" s="20" t="s">
        <v>58</v>
      </c>
      <c r="K8" s="21"/>
      <c r="L8" s="21"/>
      <c r="M8" s="21"/>
      <c r="N8" s="21"/>
      <c r="O8" s="21"/>
      <c r="P8" s="21"/>
      <c r="Q8" s="21"/>
      <c r="R8" s="21"/>
      <c r="S8" s="14"/>
      <c r="T8" s="15"/>
      <c r="U8" s="9"/>
      <c r="V8" s="16"/>
      <c r="W8" s="16"/>
      <c r="X8" s="16"/>
      <c r="Y8" s="9"/>
      <c r="Z8" s="17"/>
    </row>
    <row r="9" spans="1:26" x14ac:dyDescent="0.35">
      <c r="A9" s="11"/>
      <c r="B9" s="18"/>
      <c r="C9" s="18"/>
      <c r="D9" s="12"/>
      <c r="E9" s="4"/>
      <c r="F9" s="712" t="s">
        <v>228</v>
      </c>
      <c r="G9" s="22">
        <v>0.95</v>
      </c>
      <c r="H9" s="23" t="s">
        <v>25</v>
      </c>
      <c r="I9" s="24">
        <v>1</v>
      </c>
      <c r="J9" s="25">
        <v>5</v>
      </c>
      <c r="K9" s="26"/>
      <c r="L9" s="26"/>
      <c r="M9" s="26"/>
      <c r="N9" s="26"/>
      <c r="O9" s="26"/>
      <c r="P9" s="26"/>
      <c r="Q9" s="26"/>
      <c r="R9" s="26"/>
      <c r="S9" s="14"/>
      <c r="T9" s="15"/>
      <c r="U9" s="9"/>
      <c r="V9" s="16"/>
      <c r="W9" s="16"/>
      <c r="X9" s="16"/>
      <c r="Y9" s="9"/>
      <c r="Z9" s="17"/>
    </row>
    <row r="10" spans="1:26" x14ac:dyDescent="0.35">
      <c r="A10" s="11"/>
      <c r="B10" s="18"/>
      <c r="C10" s="18"/>
      <c r="D10" s="12"/>
      <c r="E10" s="4"/>
      <c r="F10" s="712"/>
      <c r="G10" s="22">
        <v>0.92500000000000004</v>
      </c>
      <c r="H10" s="23" t="s">
        <v>25</v>
      </c>
      <c r="I10" s="27">
        <v>0.95</v>
      </c>
      <c r="J10" s="28">
        <v>4.75</v>
      </c>
      <c r="K10" s="29"/>
      <c r="L10" s="29"/>
      <c r="M10" s="29"/>
      <c r="N10" s="29"/>
      <c r="O10" s="29"/>
      <c r="P10" s="29"/>
      <c r="Q10" s="29"/>
      <c r="R10" s="29"/>
      <c r="S10" s="14"/>
      <c r="T10" s="15"/>
      <c r="U10" s="9"/>
      <c r="V10" s="16"/>
      <c r="W10" s="16"/>
      <c r="X10" s="16"/>
      <c r="Y10" s="9"/>
      <c r="Z10" s="17"/>
    </row>
    <row r="11" spans="1:26" x14ac:dyDescent="0.35">
      <c r="A11" s="11"/>
      <c r="B11" s="30"/>
      <c r="C11" s="30"/>
      <c r="D11" s="12"/>
      <c r="E11" s="4"/>
      <c r="F11" s="712"/>
      <c r="G11" s="22">
        <v>0.91</v>
      </c>
      <c r="H11" s="23" t="s">
        <v>25</v>
      </c>
      <c r="I11" s="24">
        <v>0.92500000000000004</v>
      </c>
      <c r="J11" s="25">
        <v>4.5</v>
      </c>
      <c r="K11" s="26"/>
      <c r="L11" s="26"/>
      <c r="M11" s="26"/>
      <c r="N11" s="26"/>
      <c r="O11" s="26"/>
      <c r="P11" s="26"/>
      <c r="Q11" s="26"/>
      <c r="R11" s="26"/>
      <c r="S11" s="14"/>
      <c r="T11" s="15"/>
      <c r="U11" s="9"/>
      <c r="V11" s="16"/>
      <c r="W11" s="16"/>
      <c r="X11" s="16"/>
      <c r="Y11" s="9"/>
      <c r="Z11" s="17"/>
    </row>
    <row r="12" spans="1:26" x14ac:dyDescent="0.35">
      <c r="A12" s="11"/>
      <c r="B12" s="419"/>
      <c r="C12" s="419"/>
      <c r="D12" s="12"/>
      <c r="E12" s="4"/>
      <c r="F12" s="712"/>
      <c r="G12" s="22">
        <v>0.9</v>
      </c>
      <c r="H12" s="23" t="s">
        <v>25</v>
      </c>
      <c r="I12" s="27">
        <v>0.91</v>
      </c>
      <c r="J12" s="28">
        <v>4.25</v>
      </c>
      <c r="K12" s="29"/>
      <c r="L12" s="29"/>
      <c r="M12" s="29"/>
      <c r="N12" s="29"/>
      <c r="O12" s="29"/>
      <c r="P12" s="29"/>
      <c r="Q12" s="29"/>
      <c r="R12" s="29"/>
      <c r="S12" s="14"/>
      <c r="T12" s="15"/>
      <c r="U12" s="9"/>
      <c r="V12" s="16"/>
      <c r="W12" s="16"/>
      <c r="X12" s="16"/>
      <c r="Y12" s="9"/>
      <c r="Z12" s="17"/>
    </row>
    <row r="13" spans="1:26" x14ac:dyDescent="0.35">
      <c r="A13" s="11"/>
      <c r="B13" s="419"/>
      <c r="C13" s="419"/>
      <c r="D13" s="12"/>
      <c r="E13" s="4"/>
      <c r="F13" s="712" t="s">
        <v>229</v>
      </c>
      <c r="G13" s="22">
        <v>0.875</v>
      </c>
      <c r="H13" s="23" t="s">
        <v>25</v>
      </c>
      <c r="I13" s="24">
        <v>0.9</v>
      </c>
      <c r="J13" s="25">
        <v>4</v>
      </c>
      <c r="K13" s="26"/>
      <c r="L13" s="26"/>
      <c r="M13" s="26"/>
      <c r="N13" s="26"/>
      <c r="O13" s="26"/>
      <c r="P13" s="26"/>
      <c r="Q13" s="26"/>
      <c r="R13" s="26"/>
      <c r="S13" s="14"/>
      <c r="T13" s="15"/>
      <c r="U13" s="9"/>
      <c r="V13" s="16"/>
      <c r="W13" s="16"/>
      <c r="X13" s="16"/>
      <c r="Y13" s="9"/>
      <c r="Z13" s="17"/>
    </row>
    <row r="14" spans="1:26" ht="15" thickBot="1" x14ac:dyDescent="0.4">
      <c r="A14" s="11"/>
      <c r="B14" s="419"/>
      <c r="C14" s="419"/>
      <c r="D14" s="12"/>
      <c r="E14" s="4"/>
      <c r="F14" s="712"/>
      <c r="G14" s="22">
        <v>0.85</v>
      </c>
      <c r="H14" s="23" t="s">
        <v>25</v>
      </c>
      <c r="I14" s="27">
        <v>0.875</v>
      </c>
      <c r="J14" s="28">
        <v>3.75</v>
      </c>
      <c r="K14" s="29"/>
      <c r="L14" s="29"/>
      <c r="M14" s="29"/>
      <c r="N14" s="29"/>
      <c r="O14" s="29"/>
      <c r="P14" s="29"/>
      <c r="Q14" s="29"/>
      <c r="R14" s="29"/>
      <c r="S14" s="7"/>
      <c r="T14" s="8"/>
      <c r="U14" s="9"/>
      <c r="V14" s="16"/>
      <c r="W14" s="16"/>
      <c r="X14" s="16"/>
      <c r="Y14" s="9"/>
      <c r="Z14" s="17"/>
    </row>
    <row r="15" spans="1:26" x14ac:dyDescent="0.35">
      <c r="A15" s="31"/>
      <c r="B15" s="32"/>
      <c r="C15" s="33"/>
      <c r="D15" s="12"/>
      <c r="E15" s="4"/>
      <c r="F15" s="712"/>
      <c r="G15" s="22">
        <v>0.82499999999999996</v>
      </c>
      <c r="H15" s="23" t="s">
        <v>25</v>
      </c>
      <c r="I15" s="24">
        <v>0.85</v>
      </c>
      <c r="J15" s="25">
        <v>3.5</v>
      </c>
      <c r="K15" s="26"/>
      <c r="L15" s="26"/>
      <c r="M15" s="26"/>
      <c r="N15" s="26"/>
      <c r="O15" s="26"/>
      <c r="P15" s="26"/>
      <c r="Q15" s="26"/>
      <c r="R15" s="26"/>
      <c r="S15" s="7"/>
      <c r="T15" s="8"/>
      <c r="U15" s="9"/>
      <c r="V15" s="16"/>
      <c r="W15" s="16"/>
      <c r="X15" s="16"/>
      <c r="Y15" s="9"/>
      <c r="Z15" s="17"/>
    </row>
    <row r="16" spans="1:26" ht="15" thickBot="1" x14ac:dyDescent="0.4">
      <c r="A16" s="34" t="s">
        <v>61</v>
      </c>
      <c r="B16" s="733" t="s">
        <v>230</v>
      </c>
      <c r="C16" s="734"/>
      <c r="D16" s="12"/>
      <c r="E16" s="4"/>
      <c r="F16" s="712"/>
      <c r="G16" s="22">
        <v>0.8</v>
      </c>
      <c r="H16" s="23" t="s">
        <v>25</v>
      </c>
      <c r="I16" s="27">
        <v>0.82499999999999996</v>
      </c>
      <c r="J16" s="28">
        <v>3.25</v>
      </c>
      <c r="K16" s="29"/>
      <c r="L16" s="29"/>
      <c r="M16" s="29"/>
      <c r="N16" s="29"/>
      <c r="O16" s="29"/>
      <c r="P16" s="29"/>
      <c r="Q16" s="29"/>
      <c r="R16" s="29"/>
      <c r="S16" s="7"/>
      <c r="T16" s="8"/>
      <c r="U16" s="9"/>
      <c r="V16" s="16"/>
      <c r="W16" s="16"/>
      <c r="X16" s="16"/>
      <c r="Y16" s="9"/>
      <c r="Z16" s="17"/>
    </row>
    <row r="17" spans="1:26" ht="15.5" thickTop="1" thickBot="1" x14ac:dyDescent="0.4">
      <c r="A17" s="35" t="s">
        <v>65</v>
      </c>
      <c r="B17" s="735"/>
      <c r="C17" s="716"/>
      <c r="D17" s="12"/>
      <c r="E17" s="4"/>
      <c r="F17" s="712" t="s">
        <v>231</v>
      </c>
      <c r="G17" s="22">
        <v>0.77500000000000002</v>
      </c>
      <c r="H17" s="23" t="s">
        <v>25</v>
      </c>
      <c r="I17" s="24">
        <v>0.8</v>
      </c>
      <c r="J17" s="25">
        <v>3</v>
      </c>
      <c r="K17" s="26"/>
      <c r="L17" s="26"/>
      <c r="M17" s="26"/>
      <c r="N17" s="26"/>
      <c r="O17" s="26"/>
      <c r="P17" s="26"/>
      <c r="Q17" s="26"/>
      <c r="R17" s="26"/>
      <c r="S17" s="7"/>
      <c r="T17" s="8"/>
      <c r="U17" s="9"/>
      <c r="V17" s="16"/>
      <c r="W17" s="16"/>
      <c r="X17" s="16"/>
      <c r="Y17" s="9"/>
      <c r="Z17" s="17"/>
    </row>
    <row r="18" spans="1:26" ht="15.5" thickTop="1" thickBot="1" x14ac:dyDescent="0.4">
      <c r="A18" s="36"/>
      <c r="B18" s="736"/>
      <c r="C18" s="737"/>
      <c r="D18" s="12"/>
      <c r="E18" s="4"/>
      <c r="F18" s="712"/>
      <c r="G18" s="22">
        <v>0.75</v>
      </c>
      <c r="H18" s="23" t="s">
        <v>25</v>
      </c>
      <c r="I18" s="27">
        <v>0.77500000000000002</v>
      </c>
      <c r="J18" s="28">
        <v>2.75</v>
      </c>
      <c r="K18" s="29"/>
      <c r="L18" s="29"/>
      <c r="M18" s="29"/>
      <c r="N18" s="29"/>
      <c r="O18" s="29"/>
      <c r="P18" s="29"/>
      <c r="Q18" s="29"/>
      <c r="R18" s="29"/>
      <c r="S18" s="7"/>
      <c r="T18" s="8"/>
      <c r="U18" s="9"/>
      <c r="V18" s="16"/>
      <c r="W18" s="16"/>
      <c r="X18" s="16"/>
      <c r="Y18" s="9"/>
      <c r="Z18" s="17"/>
    </row>
    <row r="19" spans="1:26" x14ac:dyDescent="0.35">
      <c r="A19" s="11"/>
      <c r="B19" s="419"/>
      <c r="C19" s="419"/>
      <c r="D19" s="12"/>
      <c r="E19" s="4"/>
      <c r="F19" s="712"/>
      <c r="G19" s="22">
        <v>0.72499999999999998</v>
      </c>
      <c r="H19" s="23" t="s">
        <v>25</v>
      </c>
      <c r="I19" s="24">
        <v>0.75</v>
      </c>
      <c r="J19" s="25">
        <v>2.5</v>
      </c>
      <c r="K19" s="26"/>
      <c r="L19" s="26"/>
      <c r="M19" s="26"/>
      <c r="N19" s="26"/>
      <c r="O19" s="26"/>
      <c r="P19" s="26"/>
      <c r="Q19" s="26"/>
      <c r="R19" s="26"/>
      <c r="S19" s="7"/>
      <c r="T19" s="8"/>
      <c r="U19" s="9"/>
      <c r="V19" s="16"/>
      <c r="W19" s="16"/>
      <c r="X19" s="16"/>
      <c r="Y19" s="9"/>
      <c r="Z19" s="17"/>
    </row>
    <row r="20" spans="1:26" x14ac:dyDescent="0.35">
      <c r="A20" s="11"/>
      <c r="B20" s="419"/>
      <c r="C20" s="419"/>
      <c r="D20" s="12"/>
      <c r="E20" s="4"/>
      <c r="F20" s="712"/>
      <c r="G20" s="22">
        <v>0.7</v>
      </c>
      <c r="H20" s="23" t="s">
        <v>25</v>
      </c>
      <c r="I20" s="27">
        <v>0.72499999999999998</v>
      </c>
      <c r="J20" s="28">
        <v>2.25</v>
      </c>
      <c r="K20" s="29"/>
      <c r="L20" s="29"/>
      <c r="M20" s="29"/>
      <c r="N20" s="29"/>
      <c r="O20" s="29"/>
      <c r="P20" s="29"/>
      <c r="Q20" s="29"/>
      <c r="R20" s="29"/>
      <c r="S20" s="7"/>
      <c r="T20" s="8"/>
      <c r="U20" s="9"/>
      <c r="V20" s="16"/>
      <c r="W20" s="16"/>
      <c r="X20" s="16"/>
      <c r="Y20" s="9"/>
      <c r="Z20" s="17"/>
    </row>
    <row r="21" spans="1:26" x14ac:dyDescent="0.35">
      <c r="A21" s="11"/>
      <c r="B21" s="419"/>
      <c r="C21" s="419"/>
      <c r="D21" s="12"/>
      <c r="E21" s="4"/>
      <c r="F21" s="712" t="s">
        <v>232</v>
      </c>
      <c r="G21" s="22">
        <v>0.65</v>
      </c>
      <c r="H21" s="23" t="s">
        <v>25</v>
      </c>
      <c r="I21" s="24">
        <v>0.7</v>
      </c>
      <c r="J21" s="25">
        <v>2</v>
      </c>
      <c r="K21" s="26"/>
      <c r="L21" s="26"/>
      <c r="M21" s="26"/>
      <c r="N21" s="26"/>
      <c r="O21" s="26"/>
      <c r="P21" s="26"/>
      <c r="Q21" s="26"/>
      <c r="R21" s="26"/>
      <c r="S21" s="7"/>
      <c r="T21" s="8"/>
      <c r="U21" s="9"/>
      <c r="V21" s="16"/>
      <c r="W21" s="16"/>
      <c r="X21" s="16"/>
      <c r="Y21" s="9"/>
      <c r="Z21" s="17"/>
    </row>
    <row r="22" spans="1:26" x14ac:dyDescent="0.35">
      <c r="A22" s="11"/>
      <c r="B22" s="419"/>
      <c r="C22" s="419"/>
      <c r="D22" s="12"/>
      <c r="E22" s="4"/>
      <c r="F22" s="712"/>
      <c r="G22" s="22">
        <v>0.6</v>
      </c>
      <c r="H22" s="23" t="s">
        <v>25</v>
      </c>
      <c r="I22" s="27">
        <v>0.65</v>
      </c>
      <c r="J22" s="28">
        <v>1.75</v>
      </c>
      <c r="K22" s="29"/>
      <c r="L22" s="29"/>
      <c r="M22" s="29"/>
      <c r="N22" s="29"/>
      <c r="O22" s="29"/>
      <c r="P22" s="29"/>
      <c r="Q22" s="29"/>
      <c r="R22" s="29"/>
      <c r="S22" s="7"/>
      <c r="T22" s="8"/>
      <c r="U22" s="9"/>
      <c r="V22" s="16"/>
      <c r="W22" s="16"/>
      <c r="X22" s="16"/>
      <c r="Y22" s="9"/>
      <c r="Z22" s="17"/>
    </row>
    <row r="23" spans="1:26" x14ac:dyDescent="0.35">
      <c r="A23" s="11"/>
      <c r="B23" s="419"/>
      <c r="C23" s="419"/>
      <c r="D23" s="12"/>
      <c r="E23" s="4"/>
      <c r="F23" s="712"/>
      <c r="G23" s="22">
        <v>0.55000000000000004</v>
      </c>
      <c r="H23" s="23" t="s">
        <v>25</v>
      </c>
      <c r="I23" s="24">
        <v>0.6</v>
      </c>
      <c r="J23" s="25">
        <v>1.5</v>
      </c>
      <c r="K23" s="26"/>
      <c r="L23" s="26"/>
      <c r="M23" s="26"/>
      <c r="N23" s="26"/>
      <c r="O23" s="26"/>
      <c r="P23" s="26"/>
      <c r="Q23" s="26"/>
      <c r="R23" s="26"/>
      <c r="S23" s="7"/>
      <c r="T23" s="8"/>
      <c r="U23" s="9"/>
      <c r="V23" s="16"/>
      <c r="W23" s="16"/>
      <c r="X23" s="16"/>
      <c r="Y23" s="9"/>
      <c r="Z23" s="17"/>
    </row>
    <row r="24" spans="1:26" x14ac:dyDescent="0.35">
      <c r="A24" s="11"/>
      <c r="B24" s="419"/>
      <c r="C24" s="419"/>
      <c r="D24" s="12"/>
      <c r="E24" s="4"/>
      <c r="F24" s="712"/>
      <c r="G24" s="22">
        <v>0.5</v>
      </c>
      <c r="H24" s="23" t="s">
        <v>25</v>
      </c>
      <c r="I24" s="27">
        <v>0.55000000000000004</v>
      </c>
      <c r="J24" s="28">
        <v>1.25</v>
      </c>
      <c r="K24" s="29"/>
      <c r="L24" s="29"/>
      <c r="M24" s="29"/>
      <c r="N24" s="29"/>
      <c r="O24" s="29"/>
      <c r="P24" s="29"/>
      <c r="Q24" s="29"/>
      <c r="R24" s="29"/>
      <c r="S24" s="7"/>
      <c r="T24" s="8"/>
      <c r="U24" s="9"/>
      <c r="V24" s="16"/>
      <c r="W24" s="16"/>
      <c r="X24" s="16"/>
      <c r="Y24" s="9"/>
      <c r="Z24" s="17"/>
    </row>
    <row r="25" spans="1:26" x14ac:dyDescent="0.35">
      <c r="A25" s="11"/>
      <c r="B25" s="419"/>
      <c r="C25" s="419"/>
      <c r="D25" s="12"/>
      <c r="E25" s="4"/>
      <c r="F25" s="712" t="s">
        <v>233</v>
      </c>
      <c r="G25" s="22">
        <v>0.4</v>
      </c>
      <c r="H25" s="23" t="s">
        <v>25</v>
      </c>
      <c r="I25" s="24">
        <v>0.5</v>
      </c>
      <c r="J25" s="25">
        <v>1</v>
      </c>
      <c r="K25" s="26"/>
      <c r="L25" s="26"/>
      <c r="M25" s="26"/>
      <c r="N25" s="26"/>
      <c r="O25" s="26"/>
      <c r="P25" s="26"/>
      <c r="Q25" s="26"/>
      <c r="R25" s="26"/>
      <c r="S25" s="7"/>
      <c r="T25" s="8"/>
      <c r="U25" s="9"/>
      <c r="V25" s="16"/>
      <c r="W25" s="16"/>
      <c r="X25" s="16"/>
      <c r="Y25" s="9"/>
      <c r="Z25" s="17"/>
    </row>
    <row r="26" spans="1:26" x14ac:dyDescent="0.35">
      <c r="A26" s="11"/>
      <c r="B26" s="419"/>
      <c r="C26" s="419"/>
      <c r="D26" s="12"/>
      <c r="E26" s="4"/>
      <c r="F26" s="712"/>
      <c r="G26" s="22">
        <v>0.3</v>
      </c>
      <c r="H26" s="23" t="s">
        <v>25</v>
      </c>
      <c r="I26" s="27">
        <v>0.4</v>
      </c>
      <c r="J26" s="28">
        <v>0.75</v>
      </c>
      <c r="K26" s="29"/>
      <c r="L26" s="29"/>
      <c r="M26" s="29"/>
      <c r="N26" s="29"/>
      <c r="O26" s="29"/>
      <c r="P26" s="29"/>
      <c r="Q26" s="29"/>
      <c r="R26" s="29"/>
      <c r="S26" s="7"/>
      <c r="T26" s="8"/>
      <c r="U26" s="9"/>
      <c r="V26" s="16"/>
      <c r="W26" s="16"/>
      <c r="X26" s="16"/>
      <c r="Y26" s="9"/>
      <c r="Z26" s="17"/>
    </row>
    <row r="27" spans="1:26" x14ac:dyDescent="0.35">
      <c r="A27" s="11"/>
      <c r="B27" s="419"/>
      <c r="C27" s="419"/>
      <c r="D27" s="12"/>
      <c r="E27" s="4"/>
      <c r="F27" s="712"/>
      <c r="G27" s="22">
        <v>0.15</v>
      </c>
      <c r="H27" s="23" t="s">
        <v>25</v>
      </c>
      <c r="I27" s="24">
        <v>0.3</v>
      </c>
      <c r="J27" s="25">
        <v>0.5</v>
      </c>
      <c r="K27" s="26"/>
      <c r="L27" s="26"/>
      <c r="M27" s="26"/>
      <c r="N27" s="26"/>
      <c r="O27" s="26"/>
      <c r="P27" s="26"/>
      <c r="Q27" s="26"/>
      <c r="R27" s="26"/>
      <c r="S27" s="7"/>
      <c r="T27" s="8"/>
      <c r="U27" s="9"/>
      <c r="V27" s="16"/>
      <c r="W27" s="16"/>
      <c r="X27" s="16"/>
      <c r="Y27" s="9"/>
      <c r="Z27" s="17"/>
    </row>
    <row r="28" spans="1:26" ht="15" thickBot="1" x14ac:dyDescent="0.4">
      <c r="A28" s="11"/>
      <c r="B28" s="419"/>
      <c r="C28" s="419"/>
      <c r="D28" s="12"/>
      <c r="E28" s="4"/>
      <c r="F28" s="713"/>
      <c r="G28" s="37">
        <v>0</v>
      </c>
      <c r="H28" s="387" t="s">
        <v>25</v>
      </c>
      <c r="I28" s="38">
        <v>0.15</v>
      </c>
      <c r="J28" s="39">
        <v>0</v>
      </c>
      <c r="K28" s="29"/>
      <c r="L28" s="29"/>
      <c r="M28" s="29"/>
      <c r="N28" s="29"/>
      <c r="O28" s="29"/>
      <c r="P28" s="29"/>
      <c r="Q28" s="29"/>
      <c r="R28" s="29"/>
      <c r="S28" s="7"/>
      <c r="T28" s="8"/>
      <c r="U28" s="9"/>
      <c r="V28" s="16"/>
      <c r="W28" s="16"/>
      <c r="X28" s="16"/>
      <c r="Y28" s="9"/>
      <c r="Z28" s="17"/>
    </row>
    <row r="29" spans="1:26" x14ac:dyDescent="0.35">
      <c r="A29" s="11"/>
      <c r="B29" s="40"/>
      <c r="C29" s="40"/>
      <c r="D29" s="12"/>
      <c r="E29" s="4"/>
      <c r="F29" s="41"/>
      <c r="G29" s="41"/>
      <c r="H29" s="41"/>
      <c r="I29" s="21"/>
      <c r="J29" s="29"/>
      <c r="K29" s="29"/>
      <c r="L29" s="29"/>
      <c r="M29" s="29"/>
      <c r="N29" s="29"/>
      <c r="O29" s="29"/>
      <c r="P29" s="29"/>
      <c r="Q29" s="29"/>
      <c r="R29" s="29"/>
      <c r="S29" s="7"/>
      <c r="T29" s="8"/>
      <c r="U29" s="9"/>
      <c r="V29" s="9"/>
      <c r="W29" s="9"/>
      <c r="X29" s="9"/>
      <c r="Y29" s="9"/>
      <c r="Z29" s="10"/>
    </row>
    <row r="30" spans="1:26" x14ac:dyDescent="0.35">
      <c r="A30" s="11"/>
      <c r="B30" s="18"/>
      <c r="C30" s="18"/>
      <c r="D30" s="42"/>
      <c r="E30" s="4"/>
      <c r="F30" s="41"/>
      <c r="G30" s="41"/>
      <c r="H30" s="41"/>
      <c r="I30" s="21"/>
      <c r="J30" s="29"/>
      <c r="K30" s="29"/>
      <c r="L30" s="29"/>
      <c r="M30" s="29"/>
      <c r="N30" s="29"/>
      <c r="O30" s="29"/>
      <c r="P30" s="29"/>
      <c r="Q30" s="29"/>
      <c r="R30" s="29"/>
      <c r="S30" s="7"/>
      <c r="T30" s="8"/>
      <c r="U30" s="16"/>
      <c r="V30" s="16"/>
      <c r="W30" s="16"/>
      <c r="X30" s="16"/>
      <c r="Y30" s="16"/>
      <c r="Z30" s="17"/>
    </row>
    <row r="31" spans="1:26" x14ac:dyDescent="0.35">
      <c r="A31" s="718" t="s">
        <v>234</v>
      </c>
      <c r="B31" s="719"/>
      <c r="C31" s="719"/>
      <c r="D31" s="720"/>
      <c r="E31" s="4"/>
      <c r="F31" s="41"/>
      <c r="G31" s="41"/>
      <c r="H31" s="41"/>
      <c r="I31" s="21"/>
      <c r="J31" s="29"/>
      <c r="K31" s="29"/>
      <c r="L31" s="29"/>
      <c r="M31" s="29"/>
      <c r="N31" s="29"/>
      <c r="O31" s="29"/>
      <c r="P31" s="29"/>
      <c r="Q31" s="29"/>
      <c r="R31" s="29"/>
      <c r="S31" s="7"/>
      <c r="T31" s="8"/>
      <c r="U31" s="16"/>
      <c r="V31" s="16"/>
      <c r="W31" s="16"/>
      <c r="X31" s="16"/>
      <c r="Y31" s="16"/>
      <c r="Z31" s="10"/>
    </row>
    <row r="32" spans="1:26" x14ac:dyDescent="0.35">
      <c r="A32" s="718"/>
      <c r="B32" s="719"/>
      <c r="C32" s="719"/>
      <c r="D32" s="720"/>
      <c r="E32" s="4"/>
      <c r="F32" s="41"/>
      <c r="G32" s="41"/>
      <c r="H32" s="41"/>
      <c r="I32" s="21"/>
      <c r="J32" s="29"/>
      <c r="K32" s="29"/>
      <c r="L32" s="29"/>
      <c r="M32" s="29"/>
      <c r="N32" s="29"/>
      <c r="O32" s="29"/>
      <c r="P32" s="29"/>
      <c r="Q32" s="29"/>
      <c r="R32" s="29"/>
      <c r="S32" s="7"/>
      <c r="T32" s="8"/>
      <c r="U32" s="16"/>
      <c r="V32" s="16"/>
      <c r="W32" s="16"/>
      <c r="X32" s="9"/>
      <c r="Y32" s="9"/>
      <c r="Z32" s="10"/>
    </row>
    <row r="33" spans="1:26" ht="15" thickBot="1" x14ac:dyDescent="0.4">
      <c r="A33" s="11"/>
      <c r="B33" s="18"/>
      <c r="C33" s="18"/>
      <c r="D33" s="42"/>
      <c r="E33" s="4"/>
      <c r="F33" s="41"/>
      <c r="G33" s="41"/>
      <c r="H33" s="41"/>
      <c r="I33" s="21"/>
      <c r="J33" s="29"/>
      <c r="K33" s="29"/>
      <c r="L33" s="43"/>
      <c r="M33" s="43"/>
      <c r="N33" s="43"/>
      <c r="O33" s="43"/>
      <c r="P33" s="43"/>
      <c r="Q33" s="43"/>
      <c r="R33" s="43"/>
      <c r="S33" s="7"/>
      <c r="T33" s="8"/>
      <c r="U33" s="16"/>
      <c r="V33" s="16"/>
      <c r="W33" s="16"/>
      <c r="X33" s="16"/>
      <c r="Y33" s="16"/>
      <c r="Z33" s="17"/>
    </row>
    <row r="34" spans="1:26" ht="15" thickBot="1" x14ac:dyDescent="0.4">
      <c r="A34" s="11"/>
      <c r="B34" s="18"/>
      <c r="C34" s="18"/>
      <c r="D34" s="44"/>
      <c r="E34" s="4"/>
      <c r="F34" s="690" t="s">
        <v>235</v>
      </c>
      <c r="G34" s="691"/>
      <c r="H34" s="691"/>
      <c r="I34" s="692"/>
      <c r="J34" s="45"/>
      <c r="K34" s="45"/>
      <c r="L34" s="46"/>
      <c r="M34" s="46"/>
      <c r="N34" s="46"/>
      <c r="O34" s="46"/>
      <c r="P34" s="46"/>
      <c r="Q34" s="46"/>
      <c r="R34" s="46"/>
      <c r="S34" s="7"/>
      <c r="T34" s="8"/>
      <c r="U34" s="9"/>
      <c r="V34" s="16"/>
      <c r="W34" s="16"/>
      <c r="X34" s="16"/>
      <c r="Y34" s="16"/>
      <c r="Z34" s="17"/>
    </row>
    <row r="35" spans="1:26" x14ac:dyDescent="0.35">
      <c r="A35" s="31"/>
      <c r="B35" s="47"/>
      <c r="C35" s="48"/>
      <c r="D35" s="12"/>
      <c r="E35" s="4"/>
      <c r="F35" s="49" t="s">
        <v>71</v>
      </c>
      <c r="G35" s="50" t="s">
        <v>48</v>
      </c>
      <c r="H35" s="50" t="s">
        <v>49</v>
      </c>
      <c r="I35" s="51" t="s">
        <v>58</v>
      </c>
      <c r="J35" s="21"/>
      <c r="K35" s="21"/>
      <c r="L35" s="43"/>
      <c r="M35" s="43"/>
      <c r="N35" s="43"/>
      <c r="O35" s="43"/>
      <c r="P35" s="43"/>
      <c r="Q35" s="43"/>
      <c r="R35" s="43"/>
      <c r="S35" s="7"/>
      <c r="T35" s="8"/>
      <c r="U35" s="52"/>
      <c r="V35" s="16"/>
      <c r="W35" s="16"/>
      <c r="X35" s="52"/>
      <c r="Y35" s="52"/>
      <c r="Z35" s="53"/>
    </row>
    <row r="36" spans="1:26" ht="15" thickBot="1" x14ac:dyDescent="0.4">
      <c r="A36" s="34" t="s">
        <v>61</v>
      </c>
      <c r="B36" s="714" t="s">
        <v>71</v>
      </c>
      <c r="C36" s="715"/>
      <c r="D36" s="12"/>
      <c r="E36" s="4"/>
      <c r="F36" s="54">
        <v>5</v>
      </c>
      <c r="G36" s="55" t="s">
        <v>236</v>
      </c>
      <c r="H36" s="55" t="s">
        <v>237</v>
      </c>
      <c r="I36" s="56">
        <v>5</v>
      </c>
      <c r="J36" s="21"/>
      <c r="K36" s="21"/>
      <c r="L36" s="21"/>
      <c r="M36" s="21"/>
      <c r="N36" s="21"/>
      <c r="O36" s="21"/>
      <c r="P36" s="21"/>
      <c r="Q36" s="21"/>
      <c r="R36" s="21"/>
      <c r="S36" s="7"/>
      <c r="T36" s="8"/>
      <c r="U36" s="9"/>
      <c r="V36" s="9"/>
      <c r="W36" s="9"/>
      <c r="X36" s="9"/>
      <c r="Y36" s="9"/>
      <c r="Z36" s="10"/>
    </row>
    <row r="37" spans="1:26" ht="15.5" thickTop="1" thickBot="1" x14ac:dyDescent="0.4">
      <c r="A37" s="35" t="s">
        <v>65</v>
      </c>
      <c r="B37" s="509"/>
      <c r="C37" s="716"/>
      <c r="D37" s="12"/>
      <c r="E37" s="4"/>
      <c r="F37" s="57">
        <v>4</v>
      </c>
      <c r="G37" s="58" t="s">
        <v>236</v>
      </c>
      <c r="H37" s="58" t="s">
        <v>238</v>
      </c>
      <c r="I37" s="59">
        <v>4</v>
      </c>
      <c r="J37" s="21"/>
      <c r="K37" s="21"/>
      <c r="L37" s="43"/>
      <c r="M37" s="43"/>
      <c r="N37" s="43"/>
      <c r="O37" s="43"/>
      <c r="P37" s="43"/>
      <c r="Q37" s="43"/>
      <c r="R37" s="43"/>
      <c r="S37" s="7"/>
      <c r="T37" s="8"/>
      <c r="U37" s="9"/>
      <c r="V37" s="9"/>
      <c r="W37" s="9"/>
      <c r="X37" s="9"/>
      <c r="Y37" s="9"/>
      <c r="Z37" s="10"/>
    </row>
    <row r="38" spans="1:26" ht="15.5" thickTop="1" thickBot="1" x14ac:dyDescent="0.4">
      <c r="A38" s="36"/>
      <c r="B38" s="526"/>
      <c r="C38" s="527"/>
      <c r="D38" s="12"/>
      <c r="E38" s="4"/>
      <c r="F38" s="54">
        <v>3</v>
      </c>
      <c r="G38" s="55" t="s">
        <v>239</v>
      </c>
      <c r="H38" s="55" t="s">
        <v>240</v>
      </c>
      <c r="I38" s="56">
        <v>3</v>
      </c>
      <c r="J38" s="21"/>
      <c r="K38" s="21"/>
      <c r="L38" s="21"/>
      <c r="M38" s="21"/>
      <c r="N38" s="21"/>
      <c r="O38" s="21"/>
      <c r="P38" s="21"/>
      <c r="Q38" s="21"/>
      <c r="R38" s="21"/>
      <c r="S38" s="7"/>
      <c r="T38" s="8"/>
      <c r="U38" s="16"/>
      <c r="V38" s="9"/>
      <c r="W38" s="9"/>
      <c r="X38" s="16"/>
      <c r="Y38" s="16"/>
      <c r="Z38" s="17"/>
    </row>
    <row r="39" spans="1:26" ht="15" customHeight="1" x14ac:dyDescent="0.35">
      <c r="A39" s="11"/>
      <c r="B39" s="399"/>
      <c r="C39" s="399"/>
      <c r="D39" s="12"/>
      <c r="E39" s="4"/>
      <c r="F39" s="57">
        <v>2</v>
      </c>
      <c r="G39" s="58" t="s">
        <v>241</v>
      </c>
      <c r="H39" s="58" t="s">
        <v>242</v>
      </c>
      <c r="I39" s="59">
        <v>2</v>
      </c>
      <c r="J39" s="21"/>
      <c r="K39" s="21"/>
      <c r="L39" s="43"/>
      <c r="M39" s="43"/>
      <c r="N39" s="43"/>
      <c r="O39" s="43"/>
      <c r="P39" s="43"/>
      <c r="Q39" s="43"/>
      <c r="R39" s="43"/>
      <c r="S39" s="7"/>
      <c r="T39" s="8"/>
      <c r="U39" s="16"/>
      <c r="V39" s="9"/>
      <c r="W39" s="9"/>
      <c r="X39" s="16"/>
      <c r="Y39" s="16"/>
      <c r="Z39" s="17"/>
    </row>
    <row r="40" spans="1:26" ht="15" thickBot="1" x14ac:dyDescent="0.4">
      <c r="A40" s="11"/>
      <c r="B40" s="399"/>
      <c r="C40" s="399"/>
      <c r="D40" s="12"/>
      <c r="E40" s="4"/>
      <c r="F40" s="60">
        <v>1</v>
      </c>
      <c r="G40" s="61" t="s">
        <v>241</v>
      </c>
      <c r="H40" s="61" t="s">
        <v>243</v>
      </c>
      <c r="I40" s="62">
        <v>1</v>
      </c>
      <c r="J40" s="21"/>
      <c r="K40" s="21"/>
      <c r="L40" s="63"/>
      <c r="M40" s="63"/>
      <c r="N40" s="63"/>
      <c r="O40" s="63"/>
      <c r="P40" s="63"/>
      <c r="Q40" s="63"/>
      <c r="R40" s="63"/>
      <c r="S40" s="14"/>
      <c r="T40" s="15"/>
      <c r="U40" s="16"/>
      <c r="V40" s="16"/>
      <c r="W40" s="16"/>
      <c r="X40" s="16"/>
      <c r="Y40" s="16"/>
      <c r="Z40" s="17"/>
    </row>
    <row r="41" spans="1:26" x14ac:dyDescent="0.35">
      <c r="A41" s="11"/>
      <c r="B41" s="399"/>
      <c r="C41" s="399"/>
      <c r="D41" s="12"/>
      <c r="E41" s="4"/>
      <c r="F41" s="64"/>
      <c r="G41" s="64"/>
      <c r="H41" s="64"/>
      <c r="I41" s="21"/>
      <c r="J41" s="21"/>
      <c r="K41" s="63"/>
      <c r="L41" s="65"/>
      <c r="M41" s="65"/>
      <c r="N41" s="65"/>
      <c r="O41" s="65"/>
      <c r="P41" s="65"/>
      <c r="Q41" s="65"/>
      <c r="R41" s="65"/>
      <c r="S41" s="14"/>
      <c r="T41" s="15"/>
      <c r="U41" s="16"/>
      <c r="V41" s="16"/>
      <c r="W41" s="16"/>
      <c r="X41" s="16"/>
      <c r="Y41" s="16"/>
      <c r="Z41" s="17"/>
    </row>
    <row r="42" spans="1:26" x14ac:dyDescent="0.35">
      <c r="A42" s="11"/>
      <c r="B42" s="717"/>
      <c r="C42" s="717"/>
      <c r="D42" s="12"/>
      <c r="E42" s="4"/>
      <c r="F42" s="64"/>
      <c r="G42" s="64"/>
      <c r="H42" s="64"/>
      <c r="I42" s="21"/>
      <c r="J42" s="21"/>
      <c r="K42" s="65"/>
      <c r="L42" s="65"/>
      <c r="M42" s="65"/>
      <c r="N42" s="65"/>
      <c r="O42" s="65"/>
      <c r="P42" s="65"/>
      <c r="Q42" s="65"/>
      <c r="R42" s="65"/>
      <c r="S42" s="14"/>
      <c r="T42" s="15"/>
      <c r="U42" s="16"/>
      <c r="V42" s="9"/>
      <c r="W42" s="9"/>
      <c r="X42" s="16"/>
      <c r="Y42" s="16"/>
      <c r="Z42" s="17"/>
    </row>
    <row r="43" spans="1:26" x14ac:dyDescent="0.35">
      <c r="A43" s="721" t="s">
        <v>244</v>
      </c>
      <c r="B43" s="722"/>
      <c r="C43" s="722"/>
      <c r="D43" s="723"/>
      <c r="E43" s="4"/>
      <c r="F43" s="64"/>
      <c r="G43" s="64"/>
      <c r="H43" s="64"/>
      <c r="I43" s="21"/>
      <c r="J43" s="21"/>
      <c r="K43" s="65"/>
      <c r="L43" s="6"/>
      <c r="M43" s="6"/>
      <c r="N43" s="6"/>
      <c r="O43" s="6"/>
      <c r="P43" s="6"/>
      <c r="Q43" s="6"/>
      <c r="R43" s="6"/>
      <c r="S43" s="7"/>
      <c r="T43" s="8"/>
      <c r="U43" s="16"/>
      <c r="V43" s="16"/>
      <c r="W43" s="16"/>
      <c r="X43" s="16"/>
      <c r="Y43" s="16"/>
      <c r="Z43" s="17"/>
    </row>
    <row r="44" spans="1:26" x14ac:dyDescent="0.35">
      <c r="A44" s="721"/>
      <c r="B44" s="722"/>
      <c r="C44" s="722"/>
      <c r="D44" s="723"/>
      <c r="E44" s="4"/>
      <c r="F44" s="5"/>
      <c r="G44" s="5"/>
      <c r="H44" s="5"/>
      <c r="I44" s="6"/>
      <c r="J44" s="6"/>
      <c r="K44" s="6"/>
      <c r="L44" s="6"/>
      <c r="M44" s="6"/>
      <c r="N44" s="6"/>
      <c r="O44" s="6"/>
      <c r="P44" s="6"/>
      <c r="Q44" s="6"/>
      <c r="R44" s="6"/>
      <c r="S44" s="7"/>
      <c r="T44" s="8"/>
      <c r="U44" s="16"/>
      <c r="V44" s="16"/>
      <c r="W44" s="16"/>
      <c r="X44" s="16"/>
      <c r="Y44" s="16"/>
      <c r="Z44" s="17"/>
    </row>
    <row r="45" spans="1:26" ht="15" thickBot="1" x14ac:dyDescent="0.4">
      <c r="A45" s="11"/>
      <c r="B45" s="66"/>
      <c r="C45" s="66"/>
      <c r="D45" s="67"/>
      <c r="E45" s="4"/>
      <c r="F45" s="5"/>
      <c r="G45" s="5"/>
      <c r="H45" s="5"/>
      <c r="I45" s="6"/>
      <c r="J45" s="6"/>
      <c r="K45" s="6"/>
      <c r="L45" s="21"/>
      <c r="M45" s="21"/>
      <c r="N45" s="21"/>
      <c r="O45" s="21"/>
      <c r="P45" s="21"/>
      <c r="Q45" s="21"/>
      <c r="R45" s="21"/>
      <c r="S45" s="14"/>
      <c r="T45" s="68"/>
      <c r="U45" s="16"/>
      <c r="V45" s="52"/>
      <c r="W45" s="52"/>
      <c r="X45" s="16"/>
      <c r="Y45" s="16"/>
      <c r="Z45" s="17"/>
    </row>
    <row r="46" spans="1:26" x14ac:dyDescent="0.35">
      <c r="A46" s="11"/>
      <c r="B46" s="18"/>
      <c r="C46" s="18"/>
      <c r="D46" s="67"/>
      <c r="E46" s="69"/>
      <c r="F46" s="701" t="s">
        <v>245</v>
      </c>
      <c r="G46" s="702"/>
      <c r="H46" s="702"/>
      <c r="I46" s="702"/>
      <c r="J46" s="703"/>
      <c r="K46" s="21"/>
      <c r="L46" s="21"/>
      <c r="M46" s="21"/>
      <c r="N46" s="21"/>
      <c r="O46" s="21"/>
      <c r="P46" s="21"/>
      <c r="Q46" s="21"/>
      <c r="R46" s="21"/>
      <c r="S46" s="14"/>
      <c r="T46" s="8"/>
      <c r="U46" s="16"/>
      <c r="V46" s="9"/>
      <c r="W46" s="9"/>
      <c r="X46" s="16"/>
      <c r="Y46" s="16"/>
      <c r="Z46" s="17"/>
    </row>
    <row r="47" spans="1:26" ht="29.5" thickBot="1" x14ac:dyDescent="0.4">
      <c r="A47" s="11"/>
      <c r="B47" s="18"/>
      <c r="C47" s="18"/>
      <c r="D47" s="12"/>
      <c r="E47" s="69"/>
      <c r="F47" s="70" t="s">
        <v>246</v>
      </c>
      <c r="G47" s="71"/>
      <c r="H47" s="71"/>
      <c r="I47" s="72" t="s">
        <v>227</v>
      </c>
      <c r="J47" s="73" t="s">
        <v>58</v>
      </c>
      <c r="K47" s="21"/>
      <c r="L47" s="74"/>
      <c r="M47" s="74"/>
      <c r="N47" s="74"/>
      <c r="O47" s="74"/>
      <c r="P47" s="74"/>
      <c r="Q47" s="74"/>
      <c r="R47" s="74"/>
      <c r="S47" s="75"/>
      <c r="T47" s="8"/>
      <c r="U47" s="16"/>
      <c r="V47" s="9"/>
      <c r="W47" s="9"/>
      <c r="X47" s="16"/>
      <c r="Y47" s="16"/>
      <c r="Z47" s="17"/>
    </row>
    <row r="48" spans="1:26" ht="42.75" customHeight="1" thickTop="1" thickBot="1" x14ac:dyDescent="0.4">
      <c r="A48" s="11"/>
      <c r="B48" s="18"/>
      <c r="C48" s="18"/>
      <c r="D48" s="12"/>
      <c r="E48" s="69"/>
      <c r="F48" s="693" t="s">
        <v>247</v>
      </c>
      <c r="G48" s="76">
        <v>0.9</v>
      </c>
      <c r="H48" s="23" t="s">
        <v>25</v>
      </c>
      <c r="I48" s="24">
        <v>1</v>
      </c>
      <c r="J48" s="56">
        <v>5</v>
      </c>
      <c r="K48" s="74"/>
      <c r="L48" s="74"/>
      <c r="M48" s="74"/>
      <c r="N48" s="74"/>
      <c r="O48" s="74"/>
      <c r="P48" s="77" t="s">
        <v>248</v>
      </c>
      <c r="Q48" s="78" t="s">
        <v>249</v>
      </c>
      <c r="R48" s="74"/>
      <c r="S48" s="75"/>
      <c r="T48" s="8"/>
      <c r="U48" s="16"/>
      <c r="V48" s="79" t="s">
        <v>248</v>
      </c>
      <c r="W48" s="674" t="s">
        <v>250</v>
      </c>
      <c r="X48" s="674"/>
      <c r="Y48" s="80" t="s">
        <v>58</v>
      </c>
      <c r="Z48" s="17"/>
    </row>
    <row r="49" spans="1:26" ht="15" customHeight="1" x14ac:dyDescent="0.45">
      <c r="A49" s="11"/>
      <c r="B49" s="81"/>
      <c r="C49" s="81"/>
      <c r="D49" s="12"/>
      <c r="E49" s="69"/>
      <c r="F49" s="694"/>
      <c r="G49" s="82">
        <v>0.8</v>
      </c>
      <c r="H49" s="23" t="s">
        <v>25</v>
      </c>
      <c r="I49" s="27">
        <v>0.9</v>
      </c>
      <c r="J49" s="59">
        <v>4.75</v>
      </c>
      <c r="K49" s="74"/>
      <c r="L49" s="74"/>
      <c r="M49" s="74"/>
      <c r="N49" s="74"/>
      <c r="O49" s="74"/>
      <c r="P49" s="83" t="s">
        <v>225</v>
      </c>
      <c r="Q49" s="84" t="str">
        <f>IF(A17="No",0,IF(B17&gt;=G9,"5.00",IF(AND(B17&gt;=G10,B17&lt;I10),"4.75",IF(AND(B17&gt;=G11,B17&lt;I11),"4.50",IF(AND(B17&gt;=G12,B17&lt;I12),"4.25",IF(AND(B17&gt;=G13,B17&lt;I13),"4.00",IF(AND(B17&gt;=G14,B17&lt;I14),"3.75",IF(AND(B17&gt;=G15,B17&lt;I15),"3.50",IF(AND(B17&gt;=G16,B17&lt;I16),"3.25",IF(AND(B17&gt;=G17,B17&lt;I17),"3.00",IF(AND(B17&gt;=G18,B17&lt;I18),"2.75",IF(AND(B17&gt;=G19,B17&lt;I19),"2.50",IF(AND(B17&gt;=G20,B17&lt;I20),"2.25",IF(AND(B17&gt;=G21,B17&lt;I21),"2.00",IF(AND(B17&gt;=G22,B17&lt;I22),"1.75",IF(AND(B17&gt;=G23,B17&lt;I23),"1.50",IF(AND(B17&gt;=G24,B17&lt;I24),"1.25",IF(AND(B17&gt;=G25,B17&lt;I25),"1.00",IF(AND(B17&gt;=G26,B17&lt;I26),"0.75",IF(AND(B17&gt;=G27,B17&lt;I27),"0.50",IF(AND(B17&gt;=G28,B17&lt;I28),"0.00","Error")))))))))))))))))))))</f>
        <v>0.00</v>
      </c>
      <c r="R49" s="74"/>
      <c r="S49" s="75"/>
      <c r="T49" s="8"/>
      <c r="U49" s="16"/>
      <c r="V49" s="85" t="s">
        <v>225</v>
      </c>
      <c r="W49" s="675">
        <f>IF(A17="No",0,IF(AND(Q49&gt;0,Q50&gt;0,Q51&gt;0,Q52&gt;0,Q53&gt;0),0.28601,IF(AND(Q49&gt;0,Q50&gt;0,Q51=0,Q52&gt;0,Q53&gt;0),0.33333,IF(AND(Q49&gt;0,Q50&gt;0,Q51&gt;0,Q52=0,Q53&gt;0),0.33333,IF(AND(Q49&gt;0,Q50&gt;0,Q51&gt;0,Q52&gt;0,Q53=0),0.33333,IF(AND(Q49&gt;0,Q50=0,Q51&gt;0,Q52&gt;0,Q53&gt;0),0.4,IF(AND(Q49&gt;0,Q50&gt;0,Q51=0,Q52=0,Q53&gt;0),0.4,IF(AND(Q49&gt;0,Q50&gt;0,Q51&gt;0,Q52=0,Q53=0),0.4,IF(AND(Q49&gt;0,Q50&gt;0,Q51=0,Q52&gt;0,Q53=0),0.4,IF(AND(Q49&gt;0,Q50=0,Q51=0,Q52&gt;0,Q53&gt;0),0.5,IF(AND(Q49&gt;0,Q50=0,Q51&gt;0,Q52=0,Q53&gt;0),0.5,IF(AND(Q49&gt;0,Q50=0,Q51&gt;0,Q52&gt;0,Q53=0),0.5,IF(AND(Q49&gt;0,Q50&gt;0,Q51=0,Q52=0,Q53=0),0.5,IF(AND(Q49&gt;0,Q50=0,Q51=0,Q52=0,Q53=0),1,IF(AND(Q49&gt;0,Q50=0,Q51&gt;0,Q52=0,Q53=0),0.666667,IF(AND(Q49&gt;0,Q50=0,Q51=0,Q52&gt;0,Q53=0),0.666667,IF(AND(Q49&gt;0,Q50=0,Q51=0,Q52=0,Q53&gt;0),0.666667)))))))))))))))))</f>
        <v>0.28600999999999999</v>
      </c>
      <c r="X49" s="676"/>
      <c r="Y49" s="86">
        <f>Q49*W49</f>
        <v>0</v>
      </c>
      <c r="Z49" s="17"/>
    </row>
    <row r="50" spans="1:26" ht="15.75" customHeight="1" x14ac:dyDescent="0.45">
      <c r="A50" s="11"/>
      <c r="B50" s="81"/>
      <c r="C50" s="81"/>
      <c r="D50" s="12"/>
      <c r="E50" s="69"/>
      <c r="F50" s="694"/>
      <c r="G50" s="76">
        <v>0.7</v>
      </c>
      <c r="H50" s="23" t="s">
        <v>25</v>
      </c>
      <c r="I50" s="24">
        <v>0.8</v>
      </c>
      <c r="J50" s="56">
        <v>4.5</v>
      </c>
      <c r="K50" s="74"/>
      <c r="L50" s="74"/>
      <c r="M50" s="74"/>
      <c r="N50" s="74"/>
      <c r="O50" s="74"/>
      <c r="P50" s="87" t="s">
        <v>234</v>
      </c>
      <c r="Q50" s="59" t="str">
        <f>IF(A37="No",0,IF(B37=F36,"5.00",IF(AND(B37=F37),"4.00",IF(AND(B37=F38),"3.00",IF(AND(B37=F39),"2.00",IF(AND(B37=F40),"1.00","0"))))))</f>
        <v>0</v>
      </c>
      <c r="R50" s="74"/>
      <c r="S50" s="75"/>
      <c r="T50" s="8"/>
      <c r="U50" s="16"/>
      <c r="V50" s="85" t="s">
        <v>234</v>
      </c>
      <c r="W50" s="675">
        <f>IF(A37="No",0,IF(AND(Q49&gt;0,Q50&gt;0,Q51&gt;0,Q52&gt;0,Q53&gt;0),0.28601,IF(AND(Q49&gt;0,Q50&gt;0,Q51=0,Q52&gt;0,Q53&gt;0),0.33333,IF(AND(Q49&gt;0,Q50&gt;0,Q51&gt;0,Q52=0,Q53&gt;0),0.33333,IF(AND(Q49&gt;0,Q50&gt;0,Q51&gt;0,Q52&gt;0,Q53=0),0.33333,IF(AND(Q49="NR",Q50&gt;0,Q51&gt;0,Q52&gt;0,Q53&gt;0),0.4,IF(AND(Q49&gt;0,Q50&gt;0,Q51=0,Q52=0,Q53&gt;0),0.4,IF(AND(Q49&gt;0,Q50&gt;0,Q51&gt;0,Q52=0,Q53=0),0.4,IF(AND(Q49&gt;0,Q50&gt;0,Q51=0,Q52&gt;0,Q53=0),0.4,IF(AND(Q49=0,Q50&gt;0,Q51=0,Q52&gt;0,Q53&gt;0),0.5,IF(AND(Q49=0,Q50&gt;0,Q51&gt;0,Q52=0,Q53&gt;0),0.5,IF(AND(Q49=0,Q50&gt;0,Q51&gt;0,Q52&gt;0,Q53=0),0.5,IF(AND(Q49&gt;0,Q50&gt;0,Q51=0,Q52=0,Q53=0),0.5,IF(AND(Q49=0,Q50&gt;0,Q51=0,Q52=0,Q53=0),1,IF(AND(Q49=0,Q50&gt;0,Q51&gt;0,Q52=0,Q53=0),0.666667,IF(AND(Q49=0,Q50&gt;0,Q51=0,Q52&gt;0,Q53=0),0.666667,IF(AND(Q49=0,Q50&gt;=0,Q51=0,Q52=0,Q53&gt;0),0.666667)))))))))))))))))</f>
        <v>0.28600999999999999</v>
      </c>
      <c r="X50" s="676"/>
      <c r="Y50" s="86">
        <f>Q50*W50</f>
        <v>0</v>
      </c>
      <c r="Z50" s="17"/>
    </row>
    <row r="51" spans="1:26" ht="18.5" x14ac:dyDescent="0.45">
      <c r="A51" s="11"/>
      <c r="B51" s="81"/>
      <c r="C51" s="81"/>
      <c r="D51" s="12"/>
      <c r="E51" s="69"/>
      <c r="F51" s="695"/>
      <c r="G51" s="82">
        <v>0.6</v>
      </c>
      <c r="H51" s="23" t="s">
        <v>25</v>
      </c>
      <c r="I51" s="27">
        <v>0.7</v>
      </c>
      <c r="J51" s="59">
        <v>4.25</v>
      </c>
      <c r="K51" s="74"/>
      <c r="L51" s="74"/>
      <c r="M51" s="74"/>
      <c r="N51" s="74"/>
      <c r="O51" s="74"/>
      <c r="P51" s="87" t="s">
        <v>244</v>
      </c>
      <c r="Q51" s="59" t="str">
        <f>IF(A57="No",0,IF(B57&gt;=G48,"5.00",IF(AND(B57&gt;=G49,B57&lt;I49),"4.75",IF(AND(B57&gt;=G50,B57&lt;I50),"4.50",IF(AND(B57&gt;=G51,B57&lt;I51),"4.25",IF(AND(B57&gt;=G52,B57&lt;I52),"4.00",IF(AND(B57&gt;=G53,B57&lt;I53),"3.75",IF(AND(B57&gt;=G54,B57&lt;I54),"3.50",IF(AND(B57&gt;=G55,B57&lt;I55),"3.25",IF(AND(B57&gt;=G56,B57&lt;I56),"3.00",IF(AND(B57&gt;=G57,B57&lt;I57),"2.75",IF(AND(B57&gt;=G58,B57&lt;I58),"2.50",IF(AND(B57&gt;=G59,B57&lt;I59),"2.25",IF(AND(B57&gt;=G60,B57&lt;I60),"2.00",IF(AND(B57&gt;=G60,B57&lt;I61),"1.75",IF(AND(B57&gt;=G62,B57&lt;I62),"1.50",IF(AND(B57&gt;=G63,B57&lt;I63),"1.25",IF(AND(B57&gt;=G64,B57&lt;I64),"1.00",IF(AND(B57&gt;=G65,B57&lt;I65),"0.75",IF(AND(B57&gt;=G66,B57&lt;I66),"0.50",IF(AND(B57&gt;=G67,B57&lt;I67),"0.00","Error")))))))))))))))))))))</f>
        <v>0.00</v>
      </c>
      <c r="R51" s="74"/>
      <c r="S51" s="75"/>
      <c r="T51" s="8"/>
      <c r="U51" s="16"/>
      <c r="V51" s="85" t="s">
        <v>244</v>
      </c>
      <c r="W51" s="675">
        <f>IF(A57="No",0,IF(Q51=0,0,IF(AND(Q49&gt;0,Q50&gt;0,Q51&gt;0,Q52&gt;0,Q53&gt;0),0.14266,IF(AND(Q49&gt;0,Q50&gt;0,Q51&gt;0,Q52=0,Q53&gt;0),0.166667,IF(AND(Q49&gt;0,Q50&gt;0,Q51&gt;0,Q52&gt;0,Q53=0),0.166667,IF(AND(Q49=0,Q50&gt;0,Q51&gt;0,Q52&gt;0,Q53&gt;0),0.2,IF(AND(Q49&gt;0,Q50=0,Q51&gt;0,Q52&gt;0,Q53&gt;0),0.2,IF(AND(Q49&gt;0,Q50&gt;0,Q51&gt;0,Q52=0,Q53=0),0.2,IF(AND(Q49&gt;0,Q50=0,Q51&gt;0,Q52&gt;0,Q53=0),0.25,IF(AND(Q49=0,Q50&gt;0,Q51&gt;0,Q52&gt;0,Q53=0),0.25,IF(AND(Q49&gt;0,Q50=0,Q51&gt;0,Q52=0,Q53&gt;0),0.25,IF(AND(Q49=0,Q50&gt;0,Q51&gt;0,Q52=0,Q53&gt;0),0.25,IF(AND(Q49&gt;0,Q50=0,Q51&gt;0,Q52=0,Q53=0),0.333333,IF(AND(Q49=0,Q50&gt;0,Q51&gt;0,Q52=0,Q53=0),0.33333,IF(AND(Q49=0,Q50=0,Q51&gt;0,Q52&gt;0,Q53&gt;0),0.33333,IF(AND(Q49=0,Q50=0,Q51&gt;0,Q52&gt;0,Q53=0),0.5,IF(AND(Q49=0,Q50=0,Q51&gt;0,Q52=0,Q53&gt;0),0.5,IF(AND(Q49=0,Q50=0,Q51&gt;0,Q52=0,Q53=0),1,))))))))))))))))))</f>
        <v>0.14266000000000001</v>
      </c>
      <c r="X51" s="676"/>
      <c r="Y51" s="86">
        <f>Q51*W51</f>
        <v>0</v>
      </c>
      <c r="Z51" s="17"/>
    </row>
    <row r="52" spans="1:26" ht="18.5" x14ac:dyDescent="0.45">
      <c r="A52" s="11"/>
      <c r="B52" s="81"/>
      <c r="C52" s="81"/>
      <c r="D52" s="12"/>
      <c r="E52" s="69"/>
      <c r="F52" s="693" t="s">
        <v>251</v>
      </c>
      <c r="G52" s="76">
        <v>0.5625</v>
      </c>
      <c r="H52" s="23" t="s">
        <v>25</v>
      </c>
      <c r="I52" s="24">
        <v>0.6</v>
      </c>
      <c r="J52" s="56">
        <v>4</v>
      </c>
      <c r="K52" s="74"/>
      <c r="L52" s="21"/>
      <c r="M52" s="21"/>
      <c r="N52" s="21"/>
      <c r="O52" s="21"/>
      <c r="P52" s="87" t="s">
        <v>252</v>
      </c>
      <c r="Q52" s="59" t="str">
        <f>IF(A83="No",0,IF(B83&gt;=G75,"5.00",IF(AND(B83&gt;=G76,B83&lt;I76),"4.75",IF(AND(B83&gt;=G77,B83&lt;I77),"4.50",IF(AND(B83&gt;=G78,B83&lt;I78),"4.25",IF(AND(B83&gt;=G79,B83&lt;I79),"4.00",IF(AND(B83&gt;=G80,B83&lt;I80),"3.75",IF(AND(B83&gt;=G81,B83&lt;I81),"3.50",IF(AND(B83&gt;=G82,B83&lt;I82),"3.25",IF(AND(B83&gt;=G83,B83&lt;I83),"3.00",IF(AND(B83&gt;=G84,B83&lt;I84),"2.75",IF(AND(B83&gt;=G85,B83&lt;I85),"2.50",IF(AND(B83&gt;=G86,B83&lt;I86),"2.25",IF(AND(B83&gt;=G87,B83&lt;I87),"2.00",IF(AND(B83&gt;=G88,B83&lt;I88),"1.75",IF(AND(B83&gt;=G89,B83&lt;I89),"1.50",IF(AND(B83&gt;=G90,B83&lt;I90),"1.25",IF(AND(B83&gt;=G91,B83&lt;I91),"1.00",IF(AND(B83&gt;=G92,B83&lt;I92),"0.75",IF(AND(B83&gt;=G93,B83&lt;I93),"0.50",IF(AND(B83&gt;=G94,B83&lt;I94),"0.00","Error")))))))))))))))))))))</f>
        <v>0.00</v>
      </c>
      <c r="R52" s="21"/>
      <c r="S52" s="14"/>
      <c r="T52" s="15"/>
      <c r="U52" s="16"/>
      <c r="V52" s="85" t="s">
        <v>252</v>
      </c>
      <c r="W52" s="675">
        <f>IF(A83="No",0,IF(Q52=0,0,IF(AND(Q49&gt;0,Q50&gt;0,Q51&gt;0,Q52&gt;0,Q53&gt;0),0.14266,IF(AND(Q49&gt;0,Q50&gt;0,Q51&gt;0,Q52&gt;0,Q53=0),0.166667,IF(AND(Q49&gt;0,Q50&gt;0,Q51=0,Q52&gt;0,Q53&gt;0),0.166667,IF(AND(Q49=0,Q50&gt;0,Q51&gt;0,Q52&gt;0,Q53&gt;0),0.2,IF(AND(Q49&gt;0,Q50=0,Q51&gt;0,Q52&gt;0,Q53&gt;0),0.2,IF(AND(Q49&gt;0,Q50&gt;0,Q51=0,Q52&gt;0,Q53=0),0.2,IF(AND(Q49&gt;0,Q50=0,Q51&gt;0,Q52&gt;0,Q53=0),0.25,IF(AND(Q49=0,Q50&gt;0,Q51&gt;0,Q52&gt;0,Q53=0),0.25,IF(AND(Q49&gt;0,Q50=0,Q51=0,Q52&gt;0,Q53&gt;0),0.25,IF(AND(Q49=0,Q50&gt;0,Q51=0,Q52&gt;0,Q53&gt;0),0.25,IF(AND(Q49&gt;0,Q50=0,Q51=0,Q52&gt;0,Q53=0),0.333333,IF(AND(Q49=0,Q50&gt;0,Q51=0,Q52&gt;0,Q53=0),0.33333,IF(AND(Q49=0,Q50=0,Q51&gt;0,Q52&gt;0,Q53&gt;0),0.33333,IF(AND(Q49=0,Q50=0,Q51&gt;0,Q52&gt;0,Q53=0),0.5,IF(AND(Q49=0,Q50=0,Q51=0,Q52&gt;0,Q53&gt;0),0.5,IF(AND(Q49=0,Q50=0,Q51=0,Q52&gt;0,Q53=0),1,))))))))))))))))))</f>
        <v>0.14266000000000001</v>
      </c>
      <c r="X52" s="676"/>
      <c r="Y52" s="86">
        <f>Q52*W52</f>
        <v>0</v>
      </c>
      <c r="Z52" s="17"/>
    </row>
    <row r="53" spans="1:26" ht="19" thickBot="1" x14ac:dyDescent="0.5">
      <c r="A53" s="11"/>
      <c r="B53" s="81"/>
      <c r="C53" s="81"/>
      <c r="D53" s="12"/>
      <c r="E53" s="69"/>
      <c r="F53" s="694"/>
      <c r="G53" s="82">
        <v>0.52500000000000002</v>
      </c>
      <c r="H53" s="23" t="s">
        <v>25</v>
      </c>
      <c r="I53" s="27">
        <v>0.5625</v>
      </c>
      <c r="J53" s="59">
        <v>3.75</v>
      </c>
      <c r="K53" s="21"/>
      <c r="L53" s="21"/>
      <c r="M53" s="21"/>
      <c r="N53" s="21"/>
      <c r="O53" s="21"/>
      <c r="P53" s="88" t="s">
        <v>110</v>
      </c>
      <c r="Q53" s="89" t="str">
        <f>IF(A111="No",0,IF(B111&gt;=G102,"5.00",IF(AND(B111&gt;=G103,B111&lt;I103),"4.75",IF(AND(B111&gt;=G104,B111&lt;I104),"4.50",IF(AND(B111&gt;=G105,B111&lt;I105),"4.25",IF(AND(B111&gt;=G106,B111&lt;I106),"4.00",IF(AND(B111&gt;=G107,B111&lt;I107),"3.75",IF(AND(B111&gt;=G108,B111&lt;I108),"3.50",IF(AND(B111&gt;=G109,B111&lt;I109),"3.25",IF(AND(B111&gt;=G110,B111&lt;I110),"3.00",IF(AND(B111&gt;=G111,B111&lt;I11),"2.75",IF(AND(B111&gt;=G112,B111&lt;I112),"2.50",IF(AND(B111&gt;=G113,B111&lt;I113),"2.25",IF(AND(B111&gt;=G114,B111&lt;I114),"2.00",IF(AND(B111&gt;=G115,B111&lt;I115),"1.75",IF(AND(B111&gt;=G116,B111&lt;I116),"1.50",IF(AND(B111&gt;=G117,B111&lt;I117),"1.25",IF(AND(B111&gt;=G118,B111&lt;I118),"1.00",IF(AND(B111&gt;=G119,B111&lt;I119),"0.75",IF(AND(B111&gt;=G120,B111&lt;I120),"0.50",IF(AND(B111&gt;=G121,B111&lt;I121),"0.00","Error")))))))))))))))))))))</f>
        <v>0.00</v>
      </c>
      <c r="R53" s="21"/>
      <c r="S53" s="14"/>
      <c r="T53" s="15"/>
      <c r="U53" s="16"/>
      <c r="V53" s="90" t="s">
        <v>110</v>
      </c>
      <c r="W53" s="686">
        <f>IF(A111="No",0,IF(Q53=0,0,IF(AND(Q49&gt;0,Q50&gt;0,Q51&gt;0,Q52&gt;0,Q53&gt;0),0.14266,IF(AND(Q49&gt;0,Q50&gt;0,Q51&gt;0,Q52=0,Q53&gt;0),0.166667,IF(AND(Q49&gt;0,Q50&gt;0,Q51=0,Q52&gt;0,Q53&gt;0),0.166667,IF(AND(Q49=0,Q50&gt;0,Q51&gt;0,Q52&gt;0,Q53&gt;0),0.2,IF(AND(Q49&gt;0,Q50=0,Q51&gt;0,Q52&gt;0,Q53&gt;0),0.2,IF(AND(Q49&gt;0,Q50&gt;0,Q51=0,Q52=0,Q53&gt;0),0.2,IF(AND(Q49&gt;0,Q50=0,Q51&gt;0,Q52=0,Q53&gt;0),0.25,IF(AND(Q49=0,Q50&gt;0,Q51&gt;0,Q52=0,Q53&gt;0),0.25,IF(AND(Q49&gt;0,Q50=0,Q51=0,Q52&gt;0,Q53&gt;0),0.25,IF(AND(Q49=0,Q50&gt;0,Q51=0,Q52&gt;0,Q53&gt;0),0.25,IF(AND(Q49&gt;0,Q50=0,Q51=0,Q52=0,Q53&gt;0),0.333333,IF(AND(Q49=0,Q50&gt;0,Q51=0,Q52=0,Q53&gt;0),0.33333,IF(AND(Q49=0,Q50=0,Q51&gt;0,Q52&gt;0,Q53&gt;0),0.33333,IF(AND(Q49=0,Q50=0,Q51&gt;0,Q52=0,Q53&gt;0),0.5,IF(AND(Q49=0,Q50=0,Q51=0,Q52&gt;0,Q53&gt;0),0.5,IF(AND(Q49=0,Q50=0,Q51=0,Q52=0,Q53&gt;0),1,))))))))))))))))))</f>
        <v>0.14266000000000001</v>
      </c>
      <c r="X53" s="687"/>
      <c r="Y53" s="86">
        <f>Q53*W53</f>
        <v>0</v>
      </c>
      <c r="Z53" s="17"/>
    </row>
    <row r="54" spans="1:26" ht="19.5" customHeight="1" thickBot="1" x14ac:dyDescent="0.4">
      <c r="A54" s="11"/>
      <c r="B54" s="81"/>
      <c r="C54" s="81"/>
      <c r="D54" s="12"/>
      <c r="E54" s="91"/>
      <c r="F54" s="694"/>
      <c r="G54" s="76">
        <v>0.48749999999999999</v>
      </c>
      <c r="H54" s="23" t="s">
        <v>25</v>
      </c>
      <c r="I54" s="24">
        <v>0.52500000000000002</v>
      </c>
      <c r="J54" s="56">
        <v>3.5</v>
      </c>
      <c r="K54" s="21"/>
      <c r="L54" s="21"/>
      <c r="M54" s="21"/>
      <c r="N54" s="21"/>
      <c r="O54" s="21"/>
      <c r="P54" s="21"/>
      <c r="Q54" s="21"/>
      <c r="R54" s="21"/>
      <c r="S54" s="14"/>
      <c r="T54" s="15"/>
      <c r="U54" s="16"/>
      <c r="V54" s="677" t="s">
        <v>112</v>
      </c>
      <c r="W54" s="681"/>
      <c r="X54" s="681"/>
      <c r="Y54" s="679">
        <f>SUM(Y49:Y53)</f>
        <v>0</v>
      </c>
      <c r="Z54" s="17"/>
    </row>
    <row r="55" spans="1:26" ht="15" thickBot="1" x14ac:dyDescent="0.4">
      <c r="A55" s="31"/>
      <c r="B55" s="92"/>
      <c r="C55" s="93"/>
      <c r="D55" s="12"/>
      <c r="E55" s="91"/>
      <c r="F55" s="695"/>
      <c r="G55" s="82">
        <v>0.45</v>
      </c>
      <c r="H55" s="23" t="s">
        <v>25</v>
      </c>
      <c r="I55" s="27">
        <v>0.48749999999999999</v>
      </c>
      <c r="J55" s="59">
        <v>3.25</v>
      </c>
      <c r="K55" s="21"/>
      <c r="L55" s="21"/>
      <c r="M55" s="21"/>
      <c r="N55" s="21"/>
      <c r="O55" s="21"/>
      <c r="P55" s="21"/>
      <c r="Q55" s="21"/>
      <c r="R55" s="21"/>
      <c r="S55" s="14"/>
      <c r="T55" s="15"/>
      <c r="U55" s="16"/>
      <c r="V55" s="678"/>
      <c r="W55" s="682"/>
      <c r="X55" s="682"/>
      <c r="Y55" s="680"/>
      <c r="Z55" s="17"/>
    </row>
    <row r="56" spans="1:26" ht="15.5" thickTop="1" thickBot="1" x14ac:dyDescent="0.4">
      <c r="A56" s="34" t="s">
        <v>61</v>
      </c>
      <c r="B56" s="434" t="s">
        <v>227</v>
      </c>
      <c r="C56" s="539"/>
      <c r="D56" s="12"/>
      <c r="E56" s="91"/>
      <c r="F56" s="693" t="s">
        <v>253</v>
      </c>
      <c r="G56" s="76">
        <v>0.41249999999999998</v>
      </c>
      <c r="H56" s="23" t="s">
        <v>25</v>
      </c>
      <c r="I56" s="24">
        <v>0.45</v>
      </c>
      <c r="J56" s="56">
        <v>3</v>
      </c>
      <c r="K56" s="21"/>
      <c r="L56" s="21"/>
      <c r="M56" s="21"/>
      <c r="N56" s="21"/>
      <c r="O56" s="21"/>
      <c r="P56" s="21"/>
      <c r="Q56" s="21"/>
      <c r="R56" s="21"/>
      <c r="S56" s="14"/>
      <c r="T56" s="15"/>
      <c r="U56" s="16"/>
      <c r="V56" s="16"/>
      <c r="W56" s="16"/>
      <c r="X56" s="16"/>
      <c r="Y56" s="16"/>
      <c r="Z56" s="17"/>
    </row>
    <row r="57" spans="1:26" ht="15.5" thickTop="1" thickBot="1" x14ac:dyDescent="0.4">
      <c r="A57" s="35" t="s">
        <v>65</v>
      </c>
      <c r="B57" s="704"/>
      <c r="C57" s="705"/>
      <c r="D57" s="12"/>
      <c r="E57" s="91"/>
      <c r="F57" s="694"/>
      <c r="G57" s="82">
        <v>0.375</v>
      </c>
      <c r="H57" s="23" t="s">
        <v>25</v>
      </c>
      <c r="I57" s="27">
        <v>0.41249999999999998</v>
      </c>
      <c r="J57" s="59">
        <v>2.75</v>
      </c>
      <c r="K57" s="21"/>
      <c r="L57" s="21"/>
      <c r="M57" s="21"/>
      <c r="N57" s="21"/>
      <c r="O57" s="21"/>
      <c r="P57" s="21"/>
      <c r="Q57" s="21"/>
      <c r="R57" s="21"/>
      <c r="S57" s="14"/>
      <c r="T57" s="15"/>
      <c r="U57" s="16"/>
      <c r="V57" s="16"/>
      <c r="W57" s="16"/>
      <c r="X57" s="16"/>
      <c r="Y57" s="16"/>
      <c r="Z57" s="17"/>
    </row>
    <row r="58" spans="1:26" ht="15.5" thickTop="1" thickBot="1" x14ac:dyDescent="0.4">
      <c r="A58" s="36"/>
      <c r="B58" s="94"/>
      <c r="C58" s="95"/>
      <c r="D58" s="12"/>
      <c r="E58" s="91"/>
      <c r="F58" s="694"/>
      <c r="G58" s="76">
        <v>0.375</v>
      </c>
      <c r="H58" s="23" t="s">
        <v>25</v>
      </c>
      <c r="I58" s="24">
        <v>0.33750000000000002</v>
      </c>
      <c r="J58" s="56">
        <v>2.5</v>
      </c>
      <c r="K58" s="21"/>
      <c r="L58" s="21"/>
      <c r="M58" s="21"/>
      <c r="N58" s="21"/>
      <c r="O58" s="21"/>
      <c r="P58" s="21"/>
      <c r="Q58" s="21"/>
      <c r="R58" s="21"/>
      <c r="S58" s="14"/>
      <c r="T58" s="15"/>
      <c r="U58" s="16"/>
      <c r="V58" s="16"/>
      <c r="W58" s="16"/>
      <c r="X58" s="16"/>
      <c r="Y58" s="16"/>
      <c r="Z58" s="17"/>
    </row>
    <row r="59" spans="1:26" x14ac:dyDescent="0.35">
      <c r="A59" s="11"/>
      <c r="B59" s="81"/>
      <c r="C59" s="81"/>
      <c r="D59" s="12"/>
      <c r="E59" s="91"/>
      <c r="F59" s="695"/>
      <c r="G59" s="82">
        <v>0.3</v>
      </c>
      <c r="H59" s="23" t="s">
        <v>25</v>
      </c>
      <c r="I59" s="27">
        <v>0.33750000000000002</v>
      </c>
      <c r="J59" s="59">
        <v>2.25</v>
      </c>
      <c r="K59" s="21"/>
      <c r="L59" s="21"/>
      <c r="M59" s="21"/>
      <c r="N59" s="21"/>
      <c r="O59" s="21"/>
      <c r="P59" s="21"/>
      <c r="Q59" s="21"/>
      <c r="R59" s="21"/>
      <c r="S59" s="14"/>
      <c r="T59" s="15"/>
      <c r="U59" s="16"/>
      <c r="V59" s="16"/>
      <c r="W59" s="16"/>
      <c r="X59" s="16"/>
      <c r="Y59" s="16"/>
      <c r="Z59" s="17"/>
    </row>
    <row r="60" spans="1:26" x14ac:dyDescent="0.35">
      <c r="A60" s="11"/>
      <c r="B60" s="81"/>
      <c r="C60" s="81"/>
      <c r="D60" s="12"/>
      <c r="E60" s="91"/>
      <c r="F60" s="693" t="s">
        <v>254</v>
      </c>
      <c r="G60" s="76">
        <v>0.25</v>
      </c>
      <c r="H60" s="23" t="s">
        <v>25</v>
      </c>
      <c r="I60" s="24">
        <v>0.3</v>
      </c>
      <c r="J60" s="56">
        <v>2</v>
      </c>
      <c r="K60" s="21"/>
      <c r="L60" s="21"/>
      <c r="M60" s="21"/>
      <c r="N60" s="21"/>
      <c r="O60" s="21"/>
      <c r="P60" s="21"/>
      <c r="Q60" s="21"/>
      <c r="R60" s="21"/>
      <c r="S60" s="14"/>
      <c r="T60" s="15"/>
      <c r="U60" s="16"/>
      <c r="V60" s="16"/>
      <c r="W60" s="16"/>
      <c r="X60" s="16"/>
      <c r="Y60" s="16"/>
      <c r="Z60" s="17"/>
    </row>
    <row r="61" spans="1:26" x14ac:dyDescent="0.35">
      <c r="A61" s="11"/>
      <c r="B61" s="81"/>
      <c r="C61" s="81"/>
      <c r="D61" s="12"/>
      <c r="E61" s="91"/>
      <c r="F61" s="694"/>
      <c r="G61" s="82">
        <v>0.2</v>
      </c>
      <c r="H61" s="23" t="s">
        <v>25</v>
      </c>
      <c r="I61" s="27">
        <v>0.25</v>
      </c>
      <c r="J61" s="59">
        <v>1.75</v>
      </c>
      <c r="K61" s="21"/>
      <c r="L61" s="21"/>
      <c r="M61" s="21"/>
      <c r="N61" s="21"/>
      <c r="O61" s="21"/>
      <c r="P61" s="21"/>
      <c r="Q61" s="21"/>
      <c r="R61" s="21"/>
      <c r="S61" s="14"/>
      <c r="T61" s="15"/>
      <c r="U61" s="16"/>
      <c r="V61" s="16"/>
      <c r="W61" s="16"/>
      <c r="X61" s="16"/>
      <c r="Y61" s="16"/>
      <c r="Z61" s="17"/>
    </row>
    <row r="62" spans="1:26" x14ac:dyDescent="0.35">
      <c r="A62" s="11"/>
      <c r="B62" s="81"/>
      <c r="C62" s="81"/>
      <c r="D62" s="12"/>
      <c r="E62" s="91"/>
      <c r="F62" s="694"/>
      <c r="G62" s="76">
        <v>0.15</v>
      </c>
      <c r="H62" s="23" t="s">
        <v>25</v>
      </c>
      <c r="I62" s="24">
        <v>0.2</v>
      </c>
      <c r="J62" s="56">
        <v>1.5</v>
      </c>
      <c r="K62" s="21"/>
      <c r="L62" s="21"/>
      <c r="M62" s="21"/>
      <c r="N62" s="21"/>
      <c r="O62" s="21"/>
      <c r="P62" s="21"/>
      <c r="Q62" s="21"/>
      <c r="R62" s="21"/>
      <c r="S62" s="14"/>
      <c r="T62" s="15"/>
      <c r="U62" s="16"/>
      <c r="V62" s="16"/>
      <c r="W62" s="16"/>
      <c r="X62" s="16"/>
      <c r="Y62" s="16"/>
      <c r="Z62" s="17"/>
    </row>
    <row r="63" spans="1:26" x14ac:dyDescent="0.35">
      <c r="A63" s="11"/>
      <c r="B63" s="81"/>
      <c r="C63" s="81"/>
      <c r="D63" s="12"/>
      <c r="E63" s="91"/>
      <c r="F63" s="695"/>
      <c r="G63" s="82">
        <v>0.1</v>
      </c>
      <c r="H63" s="23" t="s">
        <v>25</v>
      </c>
      <c r="I63" s="27">
        <v>0.15</v>
      </c>
      <c r="J63" s="59">
        <v>1.25</v>
      </c>
      <c r="K63" s="21"/>
      <c r="L63" s="21"/>
      <c r="M63" s="21"/>
      <c r="N63" s="21"/>
      <c r="O63" s="21"/>
      <c r="P63" s="21"/>
      <c r="Q63" s="21"/>
      <c r="R63" s="21"/>
      <c r="S63" s="14"/>
      <c r="T63" s="15"/>
      <c r="U63" s="16"/>
      <c r="V63" s="16"/>
      <c r="W63" s="16"/>
      <c r="X63" s="16"/>
      <c r="Y63" s="16"/>
      <c r="Z63" s="17"/>
    </row>
    <row r="64" spans="1:26" ht="15" thickBot="1" x14ac:dyDescent="0.4">
      <c r="A64" s="11"/>
      <c r="B64" s="81"/>
      <c r="C64" s="81"/>
      <c r="D64" s="12"/>
      <c r="E64" s="91"/>
      <c r="F64" s="693" t="s">
        <v>255</v>
      </c>
      <c r="G64" s="76">
        <v>7.4999999999999997E-2</v>
      </c>
      <c r="H64" s="23" t="s">
        <v>25</v>
      </c>
      <c r="I64" s="24">
        <v>0.1</v>
      </c>
      <c r="J64" s="56">
        <v>1</v>
      </c>
      <c r="K64" s="21"/>
      <c r="L64" s="21"/>
      <c r="M64" s="21"/>
      <c r="N64" s="21"/>
      <c r="O64" s="21"/>
      <c r="P64" s="21"/>
      <c r="Q64" s="21"/>
      <c r="R64" s="21"/>
      <c r="S64" s="14"/>
      <c r="T64" s="15"/>
      <c r="U64" s="16"/>
      <c r="V64" s="16"/>
      <c r="W64" s="16"/>
      <c r="X64" s="16"/>
      <c r="Y64" s="16"/>
      <c r="Z64" s="17"/>
    </row>
    <row r="65" spans="1:26" ht="21" x14ac:dyDescent="0.35">
      <c r="A65" s="11"/>
      <c r="B65" s="81"/>
      <c r="C65" s="81"/>
      <c r="D65" s="12"/>
      <c r="E65" s="91"/>
      <c r="F65" s="694"/>
      <c r="G65" s="82">
        <v>0.05</v>
      </c>
      <c r="H65" s="23" t="s">
        <v>25</v>
      </c>
      <c r="I65" s="27">
        <v>7.4999999999999997E-2</v>
      </c>
      <c r="J65" s="59">
        <v>0.75</v>
      </c>
      <c r="K65" s="21"/>
      <c r="L65" s="21"/>
      <c r="M65" s="21"/>
      <c r="N65" s="21"/>
      <c r="O65" s="21"/>
      <c r="P65" s="21"/>
      <c r="Q65" s="96"/>
      <c r="R65" s="21"/>
      <c r="S65" s="14"/>
      <c r="T65" s="15"/>
      <c r="U65" s="16"/>
      <c r="V65" s="683" t="s">
        <v>22</v>
      </c>
      <c r="W65" s="684"/>
      <c r="X65" s="685"/>
      <c r="Y65" s="97" t="s">
        <v>23</v>
      </c>
      <c r="Z65" s="17"/>
    </row>
    <row r="66" spans="1:26" ht="21" x14ac:dyDescent="0.45">
      <c r="A66" s="11"/>
      <c r="B66" s="81"/>
      <c r="C66" s="81"/>
      <c r="D66" s="12"/>
      <c r="E66" s="91"/>
      <c r="F66" s="694"/>
      <c r="G66" s="76">
        <v>2.5000000000000001E-2</v>
      </c>
      <c r="H66" s="23" t="s">
        <v>25</v>
      </c>
      <c r="I66" s="24">
        <v>0.05</v>
      </c>
      <c r="J66" s="56">
        <v>0.5</v>
      </c>
      <c r="K66" s="21"/>
      <c r="L66" s="21"/>
      <c r="M66" s="21"/>
      <c r="N66" s="21"/>
      <c r="O66" s="21"/>
      <c r="P66" s="21"/>
      <c r="Q66" s="96"/>
      <c r="R66" s="21"/>
      <c r="S66" s="14"/>
      <c r="T66" s="15"/>
      <c r="U66" s="16"/>
      <c r="V66" s="98">
        <v>4.125</v>
      </c>
      <c r="W66" s="99" t="s">
        <v>25</v>
      </c>
      <c r="X66" s="100">
        <v>5</v>
      </c>
      <c r="Y66" s="101" t="s">
        <v>37</v>
      </c>
      <c r="Z66" s="17"/>
    </row>
    <row r="67" spans="1:26" ht="21.5" thickBot="1" x14ac:dyDescent="0.5">
      <c r="A67" s="11"/>
      <c r="B67" s="81"/>
      <c r="C67" s="81"/>
      <c r="D67" s="12"/>
      <c r="E67" s="91"/>
      <c r="F67" s="696"/>
      <c r="G67" s="102">
        <v>0</v>
      </c>
      <c r="H67" s="386" t="s">
        <v>25</v>
      </c>
      <c r="I67" s="38">
        <v>2.5000000000000001E-2</v>
      </c>
      <c r="J67" s="89">
        <v>0</v>
      </c>
      <c r="K67" s="21"/>
      <c r="L67" s="21"/>
      <c r="M67" s="21"/>
      <c r="N67" s="21"/>
      <c r="O67" s="21"/>
      <c r="P67" s="21"/>
      <c r="Q67" s="103"/>
      <c r="R67" s="21"/>
      <c r="S67" s="14"/>
      <c r="T67" s="15"/>
      <c r="U67" s="16"/>
      <c r="V67" s="98">
        <v>3.625</v>
      </c>
      <c r="W67" s="99" t="s">
        <v>25</v>
      </c>
      <c r="X67" s="100">
        <v>4.125</v>
      </c>
      <c r="Y67" s="101" t="s">
        <v>256</v>
      </c>
      <c r="Z67" s="17"/>
    </row>
    <row r="68" spans="1:26" ht="21" x14ac:dyDescent="0.45">
      <c r="A68" s="11"/>
      <c r="B68" s="81"/>
      <c r="C68" s="81"/>
      <c r="D68" s="12"/>
      <c r="E68" s="91"/>
      <c r="F68" s="64"/>
      <c r="G68" s="64"/>
      <c r="H68" s="64"/>
      <c r="I68" s="21"/>
      <c r="J68" s="21"/>
      <c r="K68" s="21"/>
      <c r="L68" s="21"/>
      <c r="M68" s="21"/>
      <c r="N68" s="21"/>
      <c r="O68" s="21"/>
      <c r="P68" s="21"/>
      <c r="Q68" s="96"/>
      <c r="R68" s="21"/>
      <c r="S68" s="14"/>
      <c r="T68" s="15"/>
      <c r="U68" s="16"/>
      <c r="V68" s="98">
        <v>3.125</v>
      </c>
      <c r="W68" s="99" t="s">
        <v>25</v>
      </c>
      <c r="X68" s="100">
        <v>3.625</v>
      </c>
      <c r="Y68" s="101" t="s">
        <v>33</v>
      </c>
      <c r="Z68" s="17"/>
    </row>
    <row r="69" spans="1:26" ht="21" x14ac:dyDescent="0.45">
      <c r="A69" s="11"/>
      <c r="B69" s="40"/>
      <c r="C69" s="40"/>
      <c r="D69" s="12"/>
      <c r="E69" s="91"/>
      <c r="F69" s="64"/>
      <c r="G69" s="64"/>
      <c r="H69" s="64"/>
      <c r="I69" s="21"/>
      <c r="J69" s="21"/>
      <c r="K69" s="21"/>
      <c r="L69" s="21"/>
      <c r="M69" s="21"/>
      <c r="N69" s="21"/>
      <c r="O69" s="21"/>
      <c r="P69" s="21"/>
      <c r="Q69" s="96"/>
      <c r="R69" s="21"/>
      <c r="S69" s="14"/>
      <c r="T69" s="15"/>
      <c r="U69" s="16"/>
      <c r="V69" s="98">
        <v>2.625</v>
      </c>
      <c r="W69" s="99" t="s">
        <v>25</v>
      </c>
      <c r="X69" s="100">
        <v>3.125</v>
      </c>
      <c r="Y69" s="101" t="s">
        <v>257</v>
      </c>
      <c r="Z69" s="17"/>
    </row>
    <row r="70" spans="1:26" ht="18.5" x14ac:dyDescent="0.45">
      <c r="A70" s="709" t="s">
        <v>252</v>
      </c>
      <c r="B70" s="710"/>
      <c r="C70" s="710"/>
      <c r="D70" s="711"/>
      <c r="E70" s="91"/>
      <c r="F70" s="64"/>
      <c r="G70" s="64"/>
      <c r="H70" s="64"/>
      <c r="I70" s="21"/>
      <c r="J70" s="21"/>
      <c r="K70" s="21"/>
      <c r="L70" s="21"/>
      <c r="M70" s="21"/>
      <c r="N70" s="21"/>
      <c r="O70" s="21"/>
      <c r="P70" s="21"/>
      <c r="Q70" s="21"/>
      <c r="R70" s="21"/>
      <c r="S70" s="14"/>
      <c r="T70" s="15"/>
      <c r="U70" s="16"/>
      <c r="V70" s="98">
        <v>2.125</v>
      </c>
      <c r="W70" s="99" t="s">
        <v>25</v>
      </c>
      <c r="X70" s="100">
        <v>2.625</v>
      </c>
      <c r="Y70" s="101" t="s">
        <v>31</v>
      </c>
      <c r="Z70" s="17"/>
    </row>
    <row r="71" spans="1:26" ht="18.5" x14ac:dyDescent="0.45">
      <c r="A71" s="709"/>
      <c r="B71" s="710"/>
      <c r="C71" s="710"/>
      <c r="D71" s="711"/>
      <c r="E71" s="91"/>
      <c r="F71" s="64"/>
      <c r="G71" s="64"/>
      <c r="H71" s="64"/>
      <c r="I71" s="21"/>
      <c r="J71" s="21"/>
      <c r="K71" s="21"/>
      <c r="L71" s="21"/>
      <c r="M71" s="21"/>
      <c r="N71" s="21"/>
      <c r="O71" s="21"/>
      <c r="P71" s="21"/>
      <c r="Q71" s="21"/>
      <c r="R71" s="21"/>
      <c r="S71" s="14"/>
      <c r="T71" s="15"/>
      <c r="U71" s="16"/>
      <c r="V71" s="104">
        <v>1.625</v>
      </c>
      <c r="W71" s="99" t="s">
        <v>25</v>
      </c>
      <c r="X71" s="105">
        <v>2.125</v>
      </c>
      <c r="Y71" s="106" t="s">
        <v>258</v>
      </c>
      <c r="Z71" s="17"/>
    </row>
    <row r="72" spans="1:26" ht="19" thickBot="1" x14ac:dyDescent="0.5">
      <c r="A72" s="11"/>
      <c r="B72" s="66"/>
      <c r="C72" s="66"/>
      <c r="D72" s="67"/>
      <c r="E72" s="91"/>
      <c r="F72" s="64"/>
      <c r="G72" s="64"/>
      <c r="H72" s="64"/>
      <c r="I72" s="21"/>
      <c r="J72" s="21"/>
      <c r="K72" s="21"/>
      <c r="L72" s="21"/>
      <c r="M72" s="21"/>
      <c r="N72" s="21"/>
      <c r="O72" s="21"/>
      <c r="P72" s="21"/>
      <c r="Q72" s="21"/>
      <c r="R72" s="21"/>
      <c r="S72" s="14"/>
      <c r="T72" s="15"/>
      <c r="U72" s="16"/>
      <c r="V72" s="104">
        <v>1.125</v>
      </c>
      <c r="W72" s="99" t="s">
        <v>25</v>
      </c>
      <c r="X72" s="105">
        <v>1.625</v>
      </c>
      <c r="Y72" s="106" t="s">
        <v>29</v>
      </c>
      <c r="Z72" s="17"/>
    </row>
    <row r="73" spans="1:26" ht="18.5" x14ac:dyDescent="0.45">
      <c r="A73" s="11"/>
      <c r="B73" s="18"/>
      <c r="C73" s="18"/>
      <c r="D73" s="67"/>
      <c r="E73" s="91"/>
      <c r="F73" s="701" t="s">
        <v>259</v>
      </c>
      <c r="G73" s="702"/>
      <c r="H73" s="702"/>
      <c r="I73" s="702"/>
      <c r="J73" s="703"/>
      <c r="K73" s="21"/>
      <c r="L73" s="21"/>
      <c r="M73" s="21"/>
      <c r="N73" s="21"/>
      <c r="O73" s="21"/>
      <c r="P73" s="21"/>
      <c r="Q73" s="21"/>
      <c r="R73" s="21"/>
      <c r="S73" s="14"/>
      <c r="T73" s="15"/>
      <c r="U73" s="16"/>
      <c r="V73" s="104">
        <v>0.56299999999999994</v>
      </c>
      <c r="W73" s="99" t="s">
        <v>25</v>
      </c>
      <c r="X73" s="105">
        <v>1.25</v>
      </c>
      <c r="Y73" s="106" t="s">
        <v>260</v>
      </c>
      <c r="Z73" s="17"/>
    </row>
    <row r="74" spans="1:26" ht="30.5" thickBot="1" x14ac:dyDescent="0.5">
      <c r="A74" s="11"/>
      <c r="B74" s="18"/>
      <c r="C74" s="18"/>
      <c r="D74" s="12"/>
      <c r="E74" s="91"/>
      <c r="F74" s="70" t="s">
        <v>246</v>
      </c>
      <c r="G74" s="71"/>
      <c r="H74" s="71"/>
      <c r="I74" s="72" t="s">
        <v>227</v>
      </c>
      <c r="J74" s="73" t="s">
        <v>58</v>
      </c>
      <c r="K74" s="21"/>
      <c r="L74" s="21"/>
      <c r="M74" s="21"/>
      <c r="N74" s="21"/>
      <c r="O74" s="21"/>
      <c r="P74" s="21"/>
      <c r="Q74" s="21"/>
      <c r="R74" s="21"/>
      <c r="S74" s="14"/>
      <c r="T74" s="15"/>
      <c r="U74" s="16"/>
      <c r="V74" s="107">
        <v>0</v>
      </c>
      <c r="W74" s="108" t="s">
        <v>25</v>
      </c>
      <c r="X74" s="109">
        <v>0.56299999999999994</v>
      </c>
      <c r="Y74" s="110" t="s">
        <v>26</v>
      </c>
      <c r="Z74" s="17"/>
    </row>
    <row r="75" spans="1:26" x14ac:dyDescent="0.35">
      <c r="A75" s="11"/>
      <c r="B75" s="18"/>
      <c r="C75" s="18"/>
      <c r="D75" s="12"/>
      <c r="E75" s="91"/>
      <c r="F75" s="693" t="s">
        <v>261</v>
      </c>
      <c r="G75" s="76">
        <v>0.97</v>
      </c>
      <c r="H75" s="111"/>
      <c r="I75" s="24">
        <v>1</v>
      </c>
      <c r="J75" s="56">
        <v>5</v>
      </c>
      <c r="K75" s="21"/>
      <c r="L75" s="21"/>
      <c r="M75" s="21"/>
      <c r="N75" s="21"/>
      <c r="O75" s="21"/>
      <c r="P75" s="21"/>
      <c r="Q75" s="21"/>
      <c r="R75" s="21"/>
      <c r="S75" s="14"/>
      <c r="T75" s="15"/>
      <c r="U75" s="16"/>
      <c r="V75" s="16"/>
      <c r="W75" s="16"/>
      <c r="X75" s="16"/>
      <c r="Y75" s="16"/>
      <c r="Z75" s="17"/>
    </row>
    <row r="76" spans="1:26" x14ac:dyDescent="0.35">
      <c r="A76" s="11"/>
      <c r="B76" s="18"/>
      <c r="C76" s="18"/>
      <c r="D76" s="12"/>
      <c r="E76" s="91"/>
      <c r="F76" s="694"/>
      <c r="G76" s="82">
        <v>0.94</v>
      </c>
      <c r="H76" s="112"/>
      <c r="I76" s="27">
        <v>0.97</v>
      </c>
      <c r="J76" s="59">
        <v>4.75</v>
      </c>
      <c r="K76" s="21"/>
      <c r="L76" s="21"/>
      <c r="M76" s="21"/>
      <c r="N76" s="21"/>
      <c r="O76" s="21"/>
      <c r="P76" s="21"/>
      <c r="Q76" s="21"/>
      <c r="R76" s="21"/>
      <c r="S76" s="14"/>
      <c r="T76" s="15"/>
      <c r="U76" s="16"/>
      <c r="V76" s="16"/>
      <c r="W76" s="16"/>
      <c r="X76" s="16"/>
      <c r="Y76" s="16"/>
      <c r="Z76" s="17"/>
    </row>
    <row r="77" spans="1:26" x14ac:dyDescent="0.35">
      <c r="A77" s="11"/>
      <c r="B77" s="81"/>
      <c r="C77" s="81"/>
      <c r="D77" s="12"/>
      <c r="E77" s="91"/>
      <c r="F77" s="694"/>
      <c r="G77" s="76">
        <v>0.91</v>
      </c>
      <c r="H77" s="111"/>
      <c r="I77" s="24">
        <v>0.94</v>
      </c>
      <c r="J77" s="56">
        <v>4.5</v>
      </c>
      <c r="K77" s="21"/>
      <c r="L77" s="21"/>
      <c r="M77" s="21"/>
      <c r="N77" s="21"/>
      <c r="O77" s="21"/>
      <c r="P77" s="21"/>
      <c r="Q77" s="21"/>
      <c r="R77" s="21"/>
      <c r="S77" s="14"/>
      <c r="T77" s="15"/>
      <c r="U77" s="16"/>
      <c r="V77" s="16"/>
      <c r="W77" s="16"/>
      <c r="X77" s="16"/>
      <c r="Y77" s="16"/>
      <c r="Z77" s="17"/>
    </row>
    <row r="78" spans="1:26" ht="15" customHeight="1" thickBot="1" x14ac:dyDescent="0.4">
      <c r="A78" s="11"/>
      <c r="B78" s="81"/>
      <c r="C78" s="81"/>
      <c r="D78" s="12"/>
      <c r="E78" s="91"/>
      <c r="F78" s="695"/>
      <c r="G78" s="82">
        <v>0.88</v>
      </c>
      <c r="H78" s="112"/>
      <c r="I78" s="27">
        <v>0.91</v>
      </c>
      <c r="J78" s="59">
        <v>4.25</v>
      </c>
      <c r="K78" s="21"/>
      <c r="L78" s="21"/>
      <c r="M78" s="21"/>
      <c r="N78" s="21"/>
      <c r="O78" s="21"/>
      <c r="P78" s="21"/>
      <c r="Q78" s="21"/>
      <c r="R78" s="21"/>
      <c r="S78" s="14"/>
      <c r="T78" s="15"/>
      <c r="U78" s="16"/>
      <c r="V78" s="16"/>
      <c r="W78" s="16"/>
      <c r="X78" s="16"/>
      <c r="Y78" s="16"/>
      <c r="Z78" s="17"/>
    </row>
    <row r="79" spans="1:26" x14ac:dyDescent="0.35">
      <c r="A79" s="11"/>
      <c r="B79" s="81"/>
      <c r="C79" s="81"/>
      <c r="D79" s="12"/>
      <c r="E79" s="91"/>
      <c r="F79" s="693" t="s">
        <v>262</v>
      </c>
      <c r="G79" s="76">
        <v>0.85499999999999998</v>
      </c>
      <c r="H79" s="111"/>
      <c r="I79" s="24">
        <v>0.88</v>
      </c>
      <c r="J79" s="56">
        <v>4</v>
      </c>
      <c r="K79" s="21"/>
      <c r="L79" s="21"/>
      <c r="M79" s="21"/>
      <c r="N79" s="21"/>
      <c r="O79" s="21"/>
      <c r="P79" s="21"/>
      <c r="Q79" s="21"/>
      <c r="R79" s="21"/>
      <c r="S79" s="14"/>
      <c r="T79" s="15"/>
      <c r="U79" s="16"/>
      <c r="V79" s="665" t="s">
        <v>263</v>
      </c>
      <c r="W79" s="666"/>
      <c r="X79" s="666"/>
      <c r="Y79" s="667"/>
      <c r="Z79" s="17"/>
    </row>
    <row r="80" spans="1:26" ht="15" thickBot="1" x14ac:dyDescent="0.4">
      <c r="A80" s="11"/>
      <c r="B80" s="81"/>
      <c r="C80" s="81"/>
      <c r="D80" s="12"/>
      <c r="E80" s="91"/>
      <c r="F80" s="694"/>
      <c r="G80" s="82">
        <v>0.83</v>
      </c>
      <c r="H80" s="112"/>
      <c r="I80" s="27">
        <v>0.85499999999999998</v>
      </c>
      <c r="J80" s="59">
        <v>3.75</v>
      </c>
      <c r="K80" s="21"/>
      <c r="L80" s="21"/>
      <c r="M80" s="21"/>
      <c r="N80" s="21"/>
      <c r="O80" s="21"/>
      <c r="P80" s="21"/>
      <c r="Q80" s="21"/>
      <c r="R80" s="21"/>
      <c r="S80" s="14"/>
      <c r="T80" s="15"/>
      <c r="U80" s="16"/>
      <c r="V80" s="668"/>
      <c r="W80" s="669"/>
      <c r="X80" s="669"/>
      <c r="Y80" s="670"/>
      <c r="Z80" s="17"/>
    </row>
    <row r="81" spans="1:26" ht="15" customHeight="1" x14ac:dyDescent="0.35">
      <c r="A81" s="31"/>
      <c r="B81" s="92"/>
      <c r="C81" s="93"/>
      <c r="D81" s="12"/>
      <c r="E81" s="91"/>
      <c r="F81" s="694"/>
      <c r="G81" s="76">
        <v>0.80500000000000005</v>
      </c>
      <c r="H81" s="111"/>
      <c r="I81" s="24">
        <v>0.83</v>
      </c>
      <c r="J81" s="56">
        <v>3.5</v>
      </c>
      <c r="K81" s="21"/>
      <c r="L81" s="21"/>
      <c r="M81" s="21"/>
      <c r="N81" s="21"/>
      <c r="O81" s="21"/>
      <c r="P81" s="21"/>
      <c r="Q81" s="21"/>
      <c r="R81" s="21"/>
      <c r="S81" s="14"/>
      <c r="T81" s="15"/>
      <c r="U81" s="16"/>
      <c r="V81" s="668"/>
      <c r="W81" s="669"/>
      <c r="X81" s="669"/>
      <c r="Y81" s="670"/>
      <c r="Z81" s="17"/>
    </row>
    <row r="82" spans="1:26" ht="15" thickBot="1" x14ac:dyDescent="0.4">
      <c r="A82" s="34" t="s">
        <v>61</v>
      </c>
      <c r="B82" s="434" t="s">
        <v>227</v>
      </c>
      <c r="C82" s="539"/>
      <c r="D82" s="12"/>
      <c r="E82" s="91"/>
      <c r="F82" s="695"/>
      <c r="G82" s="82">
        <v>0.78</v>
      </c>
      <c r="H82" s="112"/>
      <c r="I82" s="27">
        <v>0.80500000000000005</v>
      </c>
      <c r="J82" s="59">
        <v>3.25</v>
      </c>
      <c r="K82" s="21"/>
      <c r="L82" s="21"/>
      <c r="M82" s="21"/>
      <c r="N82" s="21"/>
      <c r="O82" s="21"/>
      <c r="P82" s="21"/>
      <c r="Q82" s="21"/>
      <c r="R82" s="21"/>
      <c r="S82" s="14"/>
      <c r="T82" s="15"/>
      <c r="U82" s="16"/>
      <c r="V82" s="668"/>
      <c r="W82" s="669"/>
      <c r="X82" s="669"/>
      <c r="Y82" s="670"/>
      <c r="Z82" s="17"/>
    </row>
    <row r="83" spans="1:26" ht="20.25" customHeight="1" thickTop="1" thickBot="1" x14ac:dyDescent="0.4">
      <c r="A83" s="35" t="s">
        <v>65</v>
      </c>
      <c r="B83" s="704"/>
      <c r="C83" s="705"/>
      <c r="D83" s="12"/>
      <c r="E83" s="91"/>
      <c r="F83" s="693" t="s">
        <v>264</v>
      </c>
      <c r="G83" s="76">
        <v>0.755</v>
      </c>
      <c r="H83" s="111"/>
      <c r="I83" s="24">
        <v>0.78</v>
      </c>
      <c r="J83" s="56">
        <v>3</v>
      </c>
      <c r="K83" s="21"/>
      <c r="L83" s="21"/>
      <c r="M83" s="21"/>
      <c r="N83" s="21"/>
      <c r="O83" s="21"/>
      <c r="P83" s="21"/>
      <c r="Q83" s="21"/>
      <c r="R83" s="21"/>
      <c r="S83" s="14"/>
      <c r="T83" s="15"/>
      <c r="U83" s="16"/>
      <c r="V83" s="671"/>
      <c r="W83" s="672"/>
      <c r="X83" s="672"/>
      <c r="Y83" s="673"/>
      <c r="Z83" s="17"/>
    </row>
    <row r="84" spans="1:26" ht="16.5" customHeight="1" thickTop="1" thickBot="1" x14ac:dyDescent="0.4">
      <c r="A84" s="36"/>
      <c r="B84" s="94"/>
      <c r="C84" s="95"/>
      <c r="D84" s="12"/>
      <c r="E84" s="91"/>
      <c r="F84" s="694"/>
      <c r="G84" s="82">
        <v>0.73</v>
      </c>
      <c r="H84" s="112"/>
      <c r="I84" s="27">
        <v>0.755</v>
      </c>
      <c r="J84" s="59">
        <v>2.75</v>
      </c>
      <c r="K84" s="21"/>
      <c r="L84" s="21"/>
      <c r="M84" s="21"/>
      <c r="N84" s="21"/>
      <c r="O84" s="21"/>
      <c r="P84" s="21"/>
      <c r="Q84" s="21"/>
      <c r="R84" s="21"/>
      <c r="S84" s="14"/>
      <c r="T84" s="15"/>
      <c r="U84" s="16"/>
      <c r="V84" s="656" t="str">
        <f>IF(Y54&gt;=V66,Y66,IF(Y54&gt;=V67,Y67,IF(Y54&gt;=V68,Y68,IF(Y54&gt;=V69,Y69,IF(Y54&gt;=V70,Y70,IF(Y54&gt;=V71,Y71,IF(Y54&gt;=V72,Y72,IF(Y54&gt;=V73,Y73,IF(Y54&gt;=V74,Y74)))))))))</f>
        <v>1 Star</v>
      </c>
      <c r="W84" s="657"/>
      <c r="X84" s="657"/>
      <c r="Y84" s="658"/>
      <c r="Z84" s="17"/>
    </row>
    <row r="85" spans="1:26" ht="15" customHeight="1" x14ac:dyDescent="0.35">
      <c r="A85" s="11"/>
      <c r="B85" s="81"/>
      <c r="C85" s="81"/>
      <c r="D85" s="12"/>
      <c r="E85" s="91"/>
      <c r="F85" s="694"/>
      <c r="G85" s="76">
        <v>0.70499999999999996</v>
      </c>
      <c r="H85" s="111"/>
      <c r="I85" s="24">
        <v>0.73</v>
      </c>
      <c r="J85" s="56">
        <v>2.5</v>
      </c>
      <c r="K85" s="21"/>
      <c r="L85" s="21"/>
      <c r="M85" s="21"/>
      <c r="N85" s="21"/>
      <c r="O85" s="21"/>
      <c r="P85" s="21"/>
      <c r="Q85" s="21"/>
      <c r="R85" s="21"/>
      <c r="S85" s="14"/>
      <c r="T85" s="15"/>
      <c r="U85" s="16"/>
      <c r="V85" s="659"/>
      <c r="W85" s="660"/>
      <c r="X85" s="660"/>
      <c r="Y85" s="661"/>
      <c r="Z85" s="17"/>
    </row>
    <row r="86" spans="1:26" ht="15" customHeight="1" x14ac:dyDescent="0.35">
      <c r="A86" s="11"/>
      <c r="B86" s="81"/>
      <c r="C86" s="81"/>
      <c r="D86" s="12"/>
      <c r="E86" s="91"/>
      <c r="F86" s="695"/>
      <c r="G86" s="82">
        <v>0.68</v>
      </c>
      <c r="H86" s="112"/>
      <c r="I86" s="27">
        <v>0.70499999999999996</v>
      </c>
      <c r="J86" s="59">
        <v>2.25</v>
      </c>
      <c r="K86" s="21"/>
      <c r="L86" s="21"/>
      <c r="M86" s="21"/>
      <c r="N86" s="21"/>
      <c r="O86" s="21"/>
      <c r="P86" s="21"/>
      <c r="Q86" s="21"/>
      <c r="R86" s="21"/>
      <c r="S86" s="14"/>
      <c r="T86" s="15"/>
      <c r="U86" s="16"/>
      <c r="V86" s="659"/>
      <c r="W86" s="660"/>
      <c r="X86" s="660"/>
      <c r="Y86" s="661"/>
      <c r="Z86" s="17"/>
    </row>
    <row r="87" spans="1:26" ht="15.75" customHeight="1" x14ac:dyDescent="0.35">
      <c r="A87" s="11"/>
      <c r="B87" s="81"/>
      <c r="C87" s="81"/>
      <c r="D87" s="12"/>
      <c r="E87" s="91"/>
      <c r="F87" s="693" t="s">
        <v>265</v>
      </c>
      <c r="G87" s="76">
        <v>0.65500000000000003</v>
      </c>
      <c r="H87" s="111"/>
      <c r="I87" s="24">
        <v>0.68</v>
      </c>
      <c r="J87" s="56">
        <v>2</v>
      </c>
      <c r="K87" s="21"/>
      <c r="L87" s="21"/>
      <c r="M87" s="21"/>
      <c r="N87" s="21"/>
      <c r="O87" s="21"/>
      <c r="P87" s="21"/>
      <c r="Q87" s="21"/>
      <c r="R87" s="21"/>
      <c r="S87" s="14"/>
      <c r="T87" s="15"/>
      <c r="U87" s="16"/>
      <c r="V87" s="659"/>
      <c r="W87" s="660"/>
      <c r="X87" s="660"/>
      <c r="Y87" s="661"/>
      <c r="Z87" s="17"/>
    </row>
    <row r="88" spans="1:26" ht="15.75" customHeight="1" thickBot="1" x14ac:dyDescent="0.4">
      <c r="A88" s="11"/>
      <c r="B88" s="81"/>
      <c r="C88" s="81"/>
      <c r="D88" s="12"/>
      <c r="E88" s="91"/>
      <c r="F88" s="694"/>
      <c r="G88" s="82">
        <v>0.63</v>
      </c>
      <c r="H88" s="112"/>
      <c r="I88" s="27">
        <v>0.65500000000000003</v>
      </c>
      <c r="J88" s="59">
        <v>1.75</v>
      </c>
      <c r="K88" s="21"/>
      <c r="L88" s="21"/>
      <c r="M88" s="21"/>
      <c r="N88" s="21"/>
      <c r="O88" s="21"/>
      <c r="P88" s="21"/>
      <c r="Q88" s="21"/>
      <c r="R88" s="21"/>
      <c r="S88" s="14"/>
      <c r="T88" s="15"/>
      <c r="U88" s="16"/>
      <c r="V88" s="662"/>
      <c r="W88" s="663"/>
      <c r="X88" s="663"/>
      <c r="Y88" s="664"/>
      <c r="Z88" s="17"/>
    </row>
    <row r="89" spans="1:26" x14ac:dyDescent="0.35">
      <c r="A89" s="11"/>
      <c r="B89" s="81"/>
      <c r="C89" s="81"/>
      <c r="D89" s="12"/>
      <c r="E89" s="91"/>
      <c r="F89" s="694"/>
      <c r="G89" s="76">
        <v>0.60499999999999998</v>
      </c>
      <c r="H89" s="111"/>
      <c r="I89" s="24">
        <v>0.63</v>
      </c>
      <c r="J89" s="56">
        <v>1.5</v>
      </c>
      <c r="K89" s="21"/>
      <c r="L89" s="21"/>
      <c r="M89" s="21"/>
      <c r="N89" s="21"/>
      <c r="O89" s="21"/>
      <c r="P89" s="21"/>
      <c r="Q89" s="21"/>
      <c r="R89" s="21"/>
      <c r="S89" s="14"/>
      <c r="T89" s="15"/>
      <c r="U89" s="16"/>
      <c r="V89" s="16"/>
      <c r="W89" s="16"/>
      <c r="X89" s="16"/>
      <c r="Y89" s="16"/>
      <c r="Z89" s="17"/>
    </row>
    <row r="90" spans="1:26" x14ac:dyDescent="0.35">
      <c r="A90" s="11"/>
      <c r="B90" s="81"/>
      <c r="C90" s="81"/>
      <c r="D90" s="12"/>
      <c r="E90" s="91"/>
      <c r="F90" s="695"/>
      <c r="G90" s="82">
        <v>0.57999999999999996</v>
      </c>
      <c r="H90" s="112"/>
      <c r="I90" s="27">
        <v>0.60499999999999998</v>
      </c>
      <c r="J90" s="59">
        <v>1.25</v>
      </c>
      <c r="K90" s="21"/>
      <c r="L90" s="21"/>
      <c r="M90" s="21"/>
      <c r="N90" s="21"/>
      <c r="O90" s="21"/>
      <c r="P90" s="21"/>
      <c r="Q90" s="21"/>
      <c r="R90" s="21"/>
      <c r="S90" s="14"/>
      <c r="T90" s="15"/>
      <c r="U90" s="16"/>
      <c r="V90" s="16"/>
      <c r="W90" s="16"/>
      <c r="X90" s="16"/>
      <c r="Y90" s="16"/>
      <c r="Z90" s="17"/>
    </row>
    <row r="91" spans="1:26" x14ac:dyDescent="0.35">
      <c r="A91" s="11"/>
      <c r="B91" s="81"/>
      <c r="C91" s="81"/>
      <c r="D91" s="12"/>
      <c r="E91" s="91"/>
      <c r="F91" s="693" t="s">
        <v>266</v>
      </c>
      <c r="G91" s="76">
        <v>0.435</v>
      </c>
      <c r="H91" s="111"/>
      <c r="I91" s="24">
        <v>0.57999999999999996</v>
      </c>
      <c r="J91" s="56">
        <v>1</v>
      </c>
      <c r="K91" s="21"/>
      <c r="L91" s="21"/>
      <c r="M91" s="21"/>
      <c r="N91" s="21"/>
      <c r="O91" s="21"/>
      <c r="P91" s="21"/>
      <c r="Q91" s="21"/>
      <c r="R91" s="21"/>
      <c r="S91" s="14"/>
      <c r="T91" s="15"/>
      <c r="U91" s="16"/>
      <c r="V91" s="16"/>
      <c r="W91" s="16"/>
      <c r="X91" s="16"/>
      <c r="Y91" s="16"/>
      <c r="Z91" s="17"/>
    </row>
    <row r="92" spans="1:26" x14ac:dyDescent="0.35">
      <c r="A92" s="11"/>
      <c r="B92" s="81"/>
      <c r="C92" s="81"/>
      <c r="D92" s="12"/>
      <c r="E92" s="91"/>
      <c r="F92" s="694"/>
      <c r="G92" s="82">
        <v>0.28999999999999998</v>
      </c>
      <c r="H92" s="112"/>
      <c r="I92" s="27">
        <v>0.435</v>
      </c>
      <c r="J92" s="59">
        <v>0.75</v>
      </c>
      <c r="K92" s="21"/>
      <c r="L92" s="21"/>
      <c r="M92" s="21"/>
      <c r="N92" s="21"/>
      <c r="O92" s="21"/>
      <c r="P92" s="21"/>
      <c r="Q92" s="21"/>
      <c r="R92" s="21"/>
      <c r="S92" s="14"/>
      <c r="T92" s="15"/>
      <c r="U92" s="16"/>
      <c r="V92" s="16"/>
      <c r="W92" s="16"/>
      <c r="X92" s="16"/>
      <c r="Y92" s="16"/>
      <c r="Z92" s="17"/>
    </row>
    <row r="93" spans="1:26" x14ac:dyDescent="0.35">
      <c r="A93" s="11"/>
      <c r="B93" s="81"/>
      <c r="C93" s="81"/>
      <c r="D93" s="12"/>
      <c r="E93" s="91"/>
      <c r="F93" s="694"/>
      <c r="G93" s="76">
        <v>0.14499999999999999</v>
      </c>
      <c r="H93" s="111"/>
      <c r="I93" s="24">
        <v>0.28999999999999998</v>
      </c>
      <c r="J93" s="56">
        <v>0.5</v>
      </c>
      <c r="K93" s="21"/>
      <c r="L93" s="21"/>
      <c r="M93" s="21"/>
      <c r="N93" s="21"/>
      <c r="O93" s="21"/>
      <c r="P93" s="21"/>
      <c r="Q93" s="21"/>
      <c r="R93" s="21"/>
      <c r="S93" s="14"/>
      <c r="T93" s="15"/>
      <c r="U93" s="16"/>
      <c r="V93" s="16"/>
      <c r="W93" s="16"/>
      <c r="X93" s="16"/>
      <c r="Y93" s="16"/>
      <c r="Z93" s="17"/>
    </row>
    <row r="94" spans="1:26" ht="15" thickBot="1" x14ac:dyDescent="0.4">
      <c r="A94" s="11"/>
      <c r="B94" s="81"/>
      <c r="C94" s="81"/>
      <c r="D94" s="12"/>
      <c r="E94" s="91"/>
      <c r="F94" s="696"/>
      <c r="G94" s="102">
        <v>0</v>
      </c>
      <c r="H94" s="113"/>
      <c r="I94" s="38">
        <v>0.14499999999999999</v>
      </c>
      <c r="J94" s="89">
        <v>0</v>
      </c>
      <c r="K94" s="21"/>
      <c r="L94" s="21"/>
      <c r="M94" s="21"/>
      <c r="N94" s="21"/>
      <c r="O94" s="21"/>
      <c r="P94" s="21"/>
      <c r="Q94" s="21"/>
      <c r="R94" s="21"/>
      <c r="S94" s="14"/>
      <c r="T94" s="15"/>
      <c r="U94" s="16"/>
      <c r="V94" s="16"/>
      <c r="W94" s="16"/>
      <c r="X94" s="16"/>
      <c r="Y94" s="16"/>
      <c r="Z94" s="17"/>
    </row>
    <row r="95" spans="1:26" x14ac:dyDescent="0.35">
      <c r="A95" s="11"/>
      <c r="B95" s="81"/>
      <c r="C95" s="81"/>
      <c r="D95" s="12"/>
      <c r="E95" s="91"/>
      <c r="F95" s="64"/>
      <c r="G95" s="64"/>
      <c r="H95" s="64"/>
      <c r="I95" s="21"/>
      <c r="J95" s="21"/>
      <c r="K95" s="21"/>
      <c r="L95" s="21"/>
      <c r="M95" s="21"/>
      <c r="N95" s="21"/>
      <c r="O95" s="21"/>
      <c r="P95" s="21"/>
      <c r="Q95" s="21"/>
      <c r="R95" s="21"/>
      <c r="S95" s="14"/>
      <c r="T95" s="15"/>
      <c r="U95" s="16"/>
      <c r="V95" s="16"/>
      <c r="W95" s="16"/>
      <c r="X95" s="16"/>
      <c r="Y95" s="16"/>
      <c r="Z95" s="17"/>
    </row>
    <row r="96" spans="1:26" x14ac:dyDescent="0.35">
      <c r="A96" s="11"/>
      <c r="B96" s="81"/>
      <c r="C96" s="81"/>
      <c r="D96" s="12"/>
      <c r="E96" s="91"/>
      <c r="F96" s="64"/>
      <c r="G96" s="64"/>
      <c r="H96" s="64"/>
      <c r="I96" s="21"/>
      <c r="J96" s="21"/>
      <c r="K96" s="21"/>
      <c r="L96" s="21"/>
      <c r="M96" s="21"/>
      <c r="N96" s="21"/>
      <c r="O96" s="21"/>
      <c r="P96" s="21"/>
      <c r="Q96" s="21"/>
      <c r="R96" s="21"/>
      <c r="S96" s="14"/>
      <c r="T96" s="15"/>
      <c r="U96" s="16"/>
      <c r="V96" s="16"/>
      <c r="W96" s="16"/>
      <c r="X96" s="16"/>
      <c r="Y96" s="16"/>
      <c r="Z96" s="17"/>
    </row>
    <row r="97" spans="1:26" x14ac:dyDescent="0.35">
      <c r="A97" s="709" t="s">
        <v>110</v>
      </c>
      <c r="B97" s="710"/>
      <c r="C97" s="710"/>
      <c r="D97" s="711"/>
      <c r="E97" s="91"/>
      <c r="F97" s="64"/>
      <c r="G97" s="64"/>
      <c r="H97" s="64"/>
      <c r="I97" s="21"/>
      <c r="J97" s="21"/>
      <c r="K97" s="21"/>
      <c r="L97" s="21"/>
      <c r="M97" s="21"/>
      <c r="N97" s="21"/>
      <c r="O97" s="21"/>
      <c r="P97" s="21"/>
      <c r="Q97" s="21"/>
      <c r="R97" s="21"/>
      <c r="S97" s="14"/>
      <c r="T97" s="15"/>
      <c r="U97" s="16"/>
      <c r="V97" s="16"/>
      <c r="W97" s="16"/>
      <c r="X97" s="16"/>
      <c r="Y97" s="16"/>
      <c r="Z97" s="17"/>
    </row>
    <row r="98" spans="1:26" x14ac:dyDescent="0.35">
      <c r="A98" s="709"/>
      <c r="B98" s="710"/>
      <c r="C98" s="710"/>
      <c r="D98" s="711"/>
      <c r="E98" s="91"/>
      <c r="F98" s="64"/>
      <c r="G98" s="64"/>
      <c r="H98" s="64"/>
      <c r="I98" s="21"/>
      <c r="J98" s="21"/>
      <c r="K98" s="21"/>
      <c r="L98" s="21"/>
      <c r="M98" s="21"/>
      <c r="N98" s="21"/>
      <c r="O98" s="21"/>
      <c r="P98" s="21"/>
      <c r="Q98" s="21"/>
      <c r="R98" s="21"/>
      <c r="S98" s="14"/>
      <c r="T98" s="15"/>
      <c r="U98" s="16"/>
      <c r="V98" s="16"/>
      <c r="W98" s="16"/>
      <c r="X98" s="16"/>
      <c r="Y98" s="16"/>
      <c r="Z98" s="17"/>
    </row>
    <row r="99" spans="1:26" ht="15" thickBot="1" x14ac:dyDescent="0.4">
      <c r="A99" s="11"/>
      <c r="B99" s="66"/>
      <c r="C99" s="66"/>
      <c r="D99" s="67"/>
      <c r="E99" s="91"/>
      <c r="F99" s="64"/>
      <c r="G99" s="64"/>
      <c r="H99" s="64"/>
      <c r="I99" s="21"/>
      <c r="J99" s="21"/>
      <c r="K99" s="21"/>
      <c r="L99" s="21"/>
      <c r="M99" s="21"/>
      <c r="N99" s="21"/>
      <c r="O99" s="21"/>
      <c r="P99" s="21"/>
      <c r="Q99" s="21"/>
      <c r="R99" s="21"/>
      <c r="S99" s="14"/>
      <c r="T99" s="15"/>
      <c r="U99" s="16"/>
      <c r="V99" s="16"/>
      <c r="W99" s="16"/>
      <c r="X99" s="16"/>
      <c r="Y99" s="16"/>
      <c r="Z99" s="17"/>
    </row>
    <row r="100" spans="1:26" x14ac:dyDescent="0.35">
      <c r="A100" s="11"/>
      <c r="B100" s="18"/>
      <c r="C100" s="18"/>
      <c r="D100" s="67"/>
      <c r="E100" s="91"/>
      <c r="F100" s="706" t="s">
        <v>267</v>
      </c>
      <c r="G100" s="707"/>
      <c r="H100" s="707"/>
      <c r="I100" s="707"/>
      <c r="J100" s="708"/>
      <c r="K100" s="21"/>
      <c r="L100" s="21"/>
      <c r="M100" s="21"/>
      <c r="N100" s="21"/>
      <c r="O100" s="21"/>
      <c r="P100" s="21"/>
      <c r="Q100" s="21"/>
      <c r="R100" s="21"/>
      <c r="S100" s="14"/>
      <c r="T100" s="15"/>
      <c r="U100" s="16"/>
      <c r="V100" s="16"/>
      <c r="W100" s="16"/>
      <c r="X100" s="16"/>
      <c r="Y100" s="16"/>
      <c r="Z100" s="17"/>
    </row>
    <row r="101" spans="1:26" x14ac:dyDescent="0.35">
      <c r="A101" s="11"/>
      <c r="B101" s="18"/>
      <c r="C101" s="18"/>
      <c r="D101" s="12"/>
      <c r="E101" s="91"/>
      <c r="F101" s="70" t="s">
        <v>12</v>
      </c>
      <c r="G101" s="71"/>
      <c r="H101" s="71"/>
      <c r="I101" s="72" t="s">
        <v>227</v>
      </c>
      <c r="J101" s="73" t="s">
        <v>58</v>
      </c>
      <c r="K101" s="21"/>
      <c r="L101" s="21"/>
      <c r="M101" s="21"/>
      <c r="N101" s="21"/>
      <c r="O101" s="21"/>
      <c r="P101" s="21"/>
      <c r="Q101" s="21"/>
      <c r="R101" s="21"/>
      <c r="S101" s="14"/>
      <c r="T101" s="15"/>
      <c r="U101" s="16"/>
      <c r="V101" s="16"/>
      <c r="W101" s="16"/>
      <c r="X101" s="16"/>
      <c r="Y101" s="16"/>
      <c r="Z101" s="17"/>
    </row>
    <row r="102" spans="1:26" x14ac:dyDescent="0.35">
      <c r="A102" s="11"/>
      <c r="B102" s="18"/>
      <c r="C102" s="18"/>
      <c r="D102" s="12"/>
      <c r="E102" s="91"/>
      <c r="F102" s="693" t="s">
        <v>268</v>
      </c>
      <c r="G102" s="114">
        <v>0.99124999999999996</v>
      </c>
      <c r="H102" s="115"/>
      <c r="I102" s="116">
        <v>0.1</v>
      </c>
      <c r="J102" s="56">
        <v>5</v>
      </c>
      <c r="K102" s="21"/>
      <c r="L102" s="21"/>
      <c r="M102" s="21"/>
      <c r="N102" s="21"/>
      <c r="O102" s="21"/>
      <c r="P102" s="21"/>
      <c r="Q102" s="21"/>
      <c r="R102" s="21"/>
      <c r="S102" s="14"/>
      <c r="T102" s="15"/>
      <c r="U102" s="16"/>
      <c r="V102" s="16"/>
      <c r="W102" s="16"/>
      <c r="X102" s="16"/>
      <c r="Y102" s="16"/>
      <c r="Z102" s="17"/>
    </row>
    <row r="103" spans="1:26" x14ac:dyDescent="0.35">
      <c r="A103" s="11"/>
      <c r="B103" s="18"/>
      <c r="C103" s="18"/>
      <c r="D103" s="44"/>
      <c r="E103" s="91"/>
      <c r="F103" s="694"/>
      <c r="G103" s="117">
        <v>0.98250000000000004</v>
      </c>
      <c r="H103" s="118"/>
      <c r="I103" s="119">
        <v>0.99124999999999996</v>
      </c>
      <c r="J103" s="59">
        <v>4.75</v>
      </c>
      <c r="K103" s="21"/>
      <c r="L103" s="21"/>
      <c r="M103" s="21"/>
      <c r="N103" s="21"/>
      <c r="O103" s="21"/>
      <c r="P103" s="21"/>
      <c r="Q103" s="21"/>
      <c r="R103" s="21"/>
      <c r="S103" s="14"/>
      <c r="T103" s="15"/>
      <c r="U103" s="16"/>
      <c r="V103" s="16"/>
      <c r="W103" s="16"/>
      <c r="X103" s="16"/>
      <c r="Y103" s="16"/>
      <c r="Z103" s="17"/>
    </row>
    <row r="104" spans="1:26" x14ac:dyDescent="0.35">
      <c r="A104" s="11"/>
      <c r="B104" s="18"/>
      <c r="C104" s="18"/>
      <c r="D104" s="44"/>
      <c r="E104" s="91"/>
      <c r="F104" s="694"/>
      <c r="G104" s="117">
        <v>0.97375</v>
      </c>
      <c r="H104" s="118"/>
      <c r="I104" s="116">
        <v>0.98250000000000004</v>
      </c>
      <c r="J104" s="56">
        <v>4.5</v>
      </c>
      <c r="K104" s="21"/>
      <c r="L104" s="21"/>
      <c r="M104" s="21"/>
      <c r="N104" s="21"/>
      <c r="O104" s="21"/>
      <c r="P104" s="21"/>
      <c r="Q104" s="21"/>
      <c r="R104" s="21"/>
      <c r="S104" s="14"/>
      <c r="T104" s="15"/>
      <c r="U104" s="16"/>
      <c r="V104" s="16"/>
      <c r="W104" s="16"/>
      <c r="X104" s="16"/>
      <c r="Y104" s="16"/>
      <c r="Z104" s="17"/>
    </row>
    <row r="105" spans="1:26" x14ac:dyDescent="0.35">
      <c r="A105" s="11"/>
      <c r="B105" s="18"/>
      <c r="C105" s="18"/>
      <c r="D105" s="44"/>
      <c r="E105" s="91"/>
      <c r="F105" s="695"/>
      <c r="G105" s="120">
        <v>0.96499999999999997</v>
      </c>
      <c r="H105" s="121"/>
      <c r="I105" s="119">
        <v>0.97375</v>
      </c>
      <c r="J105" s="59">
        <v>4.25</v>
      </c>
      <c r="K105" s="21"/>
      <c r="L105" s="21"/>
      <c r="M105" s="21"/>
      <c r="N105" s="21"/>
      <c r="O105" s="21"/>
      <c r="P105" s="21"/>
      <c r="Q105" s="21"/>
      <c r="R105" s="21"/>
      <c r="S105" s="14"/>
      <c r="T105" s="15"/>
      <c r="U105" s="16"/>
      <c r="V105" s="16"/>
      <c r="W105" s="16"/>
      <c r="X105" s="16"/>
      <c r="Y105" s="16"/>
      <c r="Z105" s="17"/>
    </row>
    <row r="106" spans="1:26" x14ac:dyDescent="0.35">
      <c r="A106" s="11"/>
      <c r="B106" s="18"/>
      <c r="C106" s="18"/>
      <c r="D106" s="44"/>
      <c r="E106" s="91"/>
      <c r="F106" s="693" t="s">
        <v>269</v>
      </c>
      <c r="G106" s="114">
        <v>0.95750000000000002</v>
      </c>
      <c r="H106" s="115"/>
      <c r="I106" s="116">
        <v>0.96499999999999997</v>
      </c>
      <c r="J106" s="56">
        <v>4</v>
      </c>
      <c r="K106" s="21"/>
      <c r="L106" s="21"/>
      <c r="M106" s="21"/>
      <c r="N106" s="21"/>
      <c r="O106" s="21"/>
      <c r="P106" s="21"/>
      <c r="Q106" s="21"/>
      <c r="R106" s="21"/>
      <c r="S106" s="14"/>
      <c r="T106" s="15"/>
      <c r="U106" s="16"/>
      <c r="V106" s="16"/>
      <c r="W106" s="16"/>
      <c r="X106" s="16"/>
      <c r="Y106" s="16"/>
      <c r="Z106" s="17"/>
    </row>
    <row r="107" spans="1:26" ht="15" thickBot="1" x14ac:dyDescent="0.4">
      <c r="A107" s="11"/>
      <c r="B107" s="18"/>
      <c r="C107" s="18"/>
      <c r="D107" s="44"/>
      <c r="E107" s="91"/>
      <c r="F107" s="694"/>
      <c r="G107" s="117">
        <v>0.95</v>
      </c>
      <c r="H107" s="118"/>
      <c r="I107" s="119">
        <v>0.95750000000000002</v>
      </c>
      <c r="J107" s="59">
        <v>3.75</v>
      </c>
      <c r="K107" s="21"/>
      <c r="L107" s="21"/>
      <c r="M107" s="21"/>
      <c r="N107" s="21"/>
      <c r="O107" s="21"/>
      <c r="P107" s="21"/>
      <c r="Q107" s="21"/>
      <c r="R107" s="21"/>
      <c r="S107" s="14"/>
      <c r="T107" s="15"/>
      <c r="U107" s="16"/>
      <c r="V107" s="16"/>
      <c r="W107" s="16"/>
      <c r="X107" s="16"/>
      <c r="Y107" s="16"/>
      <c r="Z107" s="17"/>
    </row>
    <row r="108" spans="1:26" x14ac:dyDescent="0.35">
      <c r="A108" s="31"/>
      <c r="B108" s="92"/>
      <c r="C108" s="93"/>
      <c r="D108" s="44"/>
      <c r="E108" s="91"/>
      <c r="F108" s="694"/>
      <c r="G108" s="117">
        <v>0.9425</v>
      </c>
      <c r="H108" s="118"/>
      <c r="I108" s="116">
        <v>0.95</v>
      </c>
      <c r="J108" s="56">
        <v>3.5</v>
      </c>
      <c r="K108" s="21"/>
      <c r="L108" s="21"/>
      <c r="M108" s="21"/>
      <c r="N108" s="21"/>
      <c r="O108" s="21"/>
      <c r="P108" s="21"/>
      <c r="Q108" s="21"/>
      <c r="R108" s="21"/>
      <c r="S108" s="14"/>
      <c r="T108" s="15"/>
      <c r="U108" s="16"/>
      <c r="V108" s="16"/>
      <c r="W108" s="16"/>
      <c r="X108" s="16"/>
      <c r="Y108" s="16"/>
      <c r="Z108" s="17"/>
    </row>
    <row r="109" spans="1:26" x14ac:dyDescent="0.35">
      <c r="A109" s="11"/>
      <c r="B109" s="697" t="s">
        <v>218</v>
      </c>
      <c r="C109" s="698"/>
      <c r="D109" s="44"/>
      <c r="E109" s="91"/>
      <c r="F109" s="695"/>
      <c r="G109" s="120">
        <v>0.93500000000000005</v>
      </c>
      <c r="H109" s="121"/>
      <c r="I109" s="119">
        <v>0.9425</v>
      </c>
      <c r="J109" s="59">
        <v>3.25</v>
      </c>
      <c r="K109" s="21"/>
      <c r="L109" s="21"/>
      <c r="M109" s="21"/>
      <c r="N109" s="21"/>
      <c r="O109" s="21"/>
      <c r="P109" s="21"/>
      <c r="Q109" s="21"/>
      <c r="R109" s="21"/>
      <c r="S109" s="14"/>
      <c r="T109" s="15"/>
      <c r="U109" s="16"/>
      <c r="V109" s="16"/>
      <c r="W109" s="16"/>
      <c r="X109" s="16"/>
      <c r="Y109" s="16"/>
      <c r="Z109" s="17"/>
    </row>
    <row r="110" spans="1:26" ht="15" thickBot="1" x14ac:dyDescent="0.4">
      <c r="A110" s="34" t="s">
        <v>61</v>
      </c>
      <c r="B110" s="697"/>
      <c r="C110" s="698"/>
      <c r="D110" s="44"/>
      <c r="E110" s="91"/>
      <c r="F110" s="693" t="s">
        <v>270</v>
      </c>
      <c r="G110" s="114">
        <v>0.92625000000000002</v>
      </c>
      <c r="H110" s="115"/>
      <c r="I110" s="116">
        <v>0.93500000000000005</v>
      </c>
      <c r="J110" s="56">
        <v>3</v>
      </c>
      <c r="K110" s="21"/>
      <c r="L110" s="21"/>
      <c r="M110" s="21"/>
      <c r="N110" s="21"/>
      <c r="O110" s="21"/>
      <c r="P110" s="21"/>
      <c r="Q110" s="21"/>
      <c r="R110" s="21"/>
      <c r="S110" s="14"/>
      <c r="T110" s="15"/>
      <c r="U110" s="16"/>
      <c r="V110" s="16"/>
      <c r="W110" s="16"/>
      <c r="X110" s="16"/>
      <c r="Y110" s="16"/>
      <c r="Z110" s="17"/>
    </row>
    <row r="111" spans="1:26" ht="15.5" thickTop="1" thickBot="1" x14ac:dyDescent="0.4">
      <c r="A111" s="35" t="s">
        <v>65</v>
      </c>
      <c r="B111" s="699"/>
      <c r="C111" s="700"/>
      <c r="D111" s="44"/>
      <c r="E111" s="91"/>
      <c r="F111" s="694"/>
      <c r="G111" s="117">
        <v>0.91749999999999998</v>
      </c>
      <c r="H111" s="118"/>
      <c r="I111" s="119">
        <v>0.92625000000000002</v>
      </c>
      <c r="J111" s="59">
        <v>2.75</v>
      </c>
      <c r="K111" s="21"/>
      <c r="L111" s="21"/>
      <c r="M111" s="21"/>
      <c r="N111" s="21"/>
      <c r="O111" s="21"/>
      <c r="P111" s="21"/>
      <c r="Q111" s="21"/>
      <c r="R111" s="21"/>
      <c r="S111" s="14"/>
      <c r="T111" s="15"/>
      <c r="U111" s="16"/>
      <c r="V111" s="16"/>
      <c r="W111" s="16"/>
      <c r="X111" s="16"/>
      <c r="Y111" s="16"/>
      <c r="Z111" s="17"/>
    </row>
    <row r="112" spans="1:26" ht="15.5" thickTop="1" thickBot="1" x14ac:dyDescent="0.4">
      <c r="A112" s="36"/>
      <c r="B112" s="122"/>
      <c r="C112" s="123"/>
      <c r="D112" s="44"/>
      <c r="E112" s="91"/>
      <c r="F112" s="694"/>
      <c r="G112" s="117">
        <v>0.90874999999999995</v>
      </c>
      <c r="H112" s="118"/>
      <c r="I112" s="116">
        <v>0.91749999999999998</v>
      </c>
      <c r="J112" s="56">
        <v>2.5</v>
      </c>
      <c r="K112" s="21"/>
      <c r="L112" s="21"/>
      <c r="M112" s="21"/>
      <c r="N112" s="21"/>
      <c r="O112" s="21"/>
      <c r="P112" s="21"/>
      <c r="Q112" s="21"/>
      <c r="R112" s="21"/>
      <c r="S112" s="14"/>
      <c r="T112" s="15"/>
      <c r="U112" s="16"/>
      <c r="V112" s="16"/>
      <c r="W112" s="16"/>
      <c r="X112" s="16"/>
      <c r="Y112" s="16"/>
      <c r="Z112" s="17"/>
    </row>
    <row r="113" spans="1:26" x14ac:dyDescent="0.35">
      <c r="A113" s="11"/>
      <c r="B113" s="18"/>
      <c r="C113" s="18"/>
      <c r="D113" s="44"/>
      <c r="E113" s="91"/>
      <c r="F113" s="695"/>
      <c r="G113" s="120">
        <v>0.9</v>
      </c>
      <c r="H113" s="121"/>
      <c r="I113" s="119">
        <v>0.90874999999999995</v>
      </c>
      <c r="J113" s="59">
        <v>2.25</v>
      </c>
      <c r="K113" s="21"/>
      <c r="L113" s="21"/>
      <c r="M113" s="21"/>
      <c r="N113" s="21"/>
      <c r="O113" s="21"/>
      <c r="P113" s="21"/>
      <c r="Q113" s="21"/>
      <c r="R113" s="21"/>
      <c r="S113" s="14"/>
      <c r="T113" s="15"/>
      <c r="U113" s="16"/>
      <c r="V113" s="16"/>
      <c r="W113" s="16"/>
      <c r="X113" s="16"/>
      <c r="Y113" s="16"/>
      <c r="Z113" s="17"/>
    </row>
    <row r="114" spans="1:26" x14ac:dyDescent="0.35">
      <c r="A114" s="11"/>
      <c r="B114" s="18"/>
      <c r="C114" s="18"/>
      <c r="D114" s="44"/>
      <c r="E114" s="91"/>
      <c r="F114" s="693" t="s">
        <v>271</v>
      </c>
      <c r="G114" s="114">
        <v>0.88500000000000001</v>
      </c>
      <c r="H114" s="115"/>
      <c r="I114" s="116">
        <v>0.9</v>
      </c>
      <c r="J114" s="56">
        <v>2</v>
      </c>
      <c r="K114" s="21"/>
      <c r="L114" s="21"/>
      <c r="M114" s="21"/>
      <c r="N114" s="21"/>
      <c r="O114" s="21"/>
      <c r="P114" s="21"/>
      <c r="Q114" s="21"/>
      <c r="R114" s="21"/>
      <c r="S114" s="14"/>
      <c r="T114" s="15"/>
      <c r="U114" s="16"/>
      <c r="V114" s="16"/>
      <c r="W114" s="16"/>
      <c r="X114" s="16"/>
      <c r="Y114" s="16"/>
      <c r="Z114" s="17"/>
    </row>
    <row r="115" spans="1:26" x14ac:dyDescent="0.35">
      <c r="A115" s="11"/>
      <c r="B115" s="18"/>
      <c r="C115" s="18"/>
      <c r="D115" s="44"/>
      <c r="E115" s="91"/>
      <c r="F115" s="694"/>
      <c r="G115" s="117">
        <v>0.87</v>
      </c>
      <c r="H115" s="118"/>
      <c r="I115" s="119">
        <v>0.88500000000000001</v>
      </c>
      <c r="J115" s="59">
        <v>1.75</v>
      </c>
      <c r="K115" s="21"/>
      <c r="L115" s="21"/>
      <c r="M115" s="21"/>
      <c r="N115" s="21"/>
      <c r="O115" s="21"/>
      <c r="P115" s="21"/>
      <c r="Q115" s="21"/>
      <c r="R115" s="21"/>
      <c r="S115" s="14"/>
      <c r="T115" s="15"/>
      <c r="U115" s="16"/>
      <c r="V115" s="16"/>
      <c r="W115" s="16"/>
      <c r="X115" s="16"/>
      <c r="Y115" s="16"/>
      <c r="Z115" s="17"/>
    </row>
    <row r="116" spans="1:26" x14ac:dyDescent="0.35">
      <c r="A116" s="11"/>
      <c r="B116" s="18"/>
      <c r="C116" s="18"/>
      <c r="D116" s="44"/>
      <c r="E116" s="91"/>
      <c r="F116" s="694"/>
      <c r="G116" s="117">
        <v>0.85499999999999998</v>
      </c>
      <c r="H116" s="118"/>
      <c r="I116" s="116">
        <v>0.87</v>
      </c>
      <c r="J116" s="56">
        <v>1.5</v>
      </c>
      <c r="K116" s="21"/>
      <c r="L116" s="21"/>
      <c r="M116" s="21"/>
      <c r="N116" s="21"/>
      <c r="O116" s="21"/>
      <c r="P116" s="21"/>
      <c r="Q116" s="21"/>
      <c r="R116" s="21"/>
      <c r="S116" s="14"/>
      <c r="T116" s="15"/>
      <c r="U116" s="16"/>
      <c r="V116" s="16"/>
      <c r="W116" s="16"/>
      <c r="X116" s="16"/>
      <c r="Y116" s="16"/>
      <c r="Z116" s="17"/>
    </row>
    <row r="117" spans="1:26" x14ac:dyDescent="0.35">
      <c r="A117" s="11"/>
      <c r="B117" s="18"/>
      <c r="C117" s="18"/>
      <c r="D117" s="44"/>
      <c r="E117" s="91"/>
      <c r="F117" s="695"/>
      <c r="G117" s="120">
        <v>0.84</v>
      </c>
      <c r="H117" s="121"/>
      <c r="I117" s="119">
        <v>0.85499999999999998</v>
      </c>
      <c r="J117" s="59">
        <v>1.25</v>
      </c>
      <c r="K117" s="21"/>
      <c r="L117" s="21"/>
      <c r="M117" s="21"/>
      <c r="N117" s="21"/>
      <c r="O117" s="21"/>
      <c r="P117" s="21"/>
      <c r="Q117" s="21"/>
      <c r="R117" s="21"/>
      <c r="S117" s="14"/>
      <c r="T117" s="15"/>
      <c r="U117" s="16"/>
      <c r="V117" s="16"/>
      <c r="W117" s="16"/>
      <c r="X117" s="16"/>
      <c r="Y117" s="16"/>
      <c r="Z117" s="17"/>
    </row>
    <row r="118" spans="1:26" x14ac:dyDescent="0.35">
      <c r="A118" s="11"/>
      <c r="B118" s="18"/>
      <c r="C118" s="18"/>
      <c r="D118" s="44"/>
      <c r="E118" s="91"/>
      <c r="F118" s="693" t="s">
        <v>272</v>
      </c>
      <c r="G118" s="114">
        <v>0.63</v>
      </c>
      <c r="H118" s="115"/>
      <c r="I118" s="116">
        <v>0.84</v>
      </c>
      <c r="J118" s="56">
        <v>1</v>
      </c>
      <c r="K118" s="21"/>
      <c r="L118" s="21"/>
      <c r="M118" s="21"/>
      <c r="N118" s="21"/>
      <c r="O118" s="21"/>
      <c r="P118" s="21"/>
      <c r="Q118" s="21"/>
      <c r="R118" s="21"/>
      <c r="S118" s="14"/>
      <c r="T118" s="15"/>
      <c r="U118" s="16"/>
      <c r="V118" s="16"/>
      <c r="W118" s="16"/>
      <c r="X118" s="16"/>
      <c r="Y118" s="16"/>
      <c r="Z118" s="17"/>
    </row>
    <row r="119" spans="1:26" x14ac:dyDescent="0.35">
      <c r="A119" s="11"/>
      <c r="B119" s="18"/>
      <c r="C119" s="18"/>
      <c r="D119" s="44"/>
      <c r="E119" s="91"/>
      <c r="F119" s="694"/>
      <c r="G119" s="117">
        <v>0.42</v>
      </c>
      <c r="H119" s="118"/>
      <c r="I119" s="119">
        <v>0.63</v>
      </c>
      <c r="J119" s="59">
        <v>0.75</v>
      </c>
      <c r="K119" s="21"/>
      <c r="L119" s="21"/>
      <c r="M119" s="21"/>
      <c r="N119" s="21"/>
      <c r="O119" s="21"/>
      <c r="P119" s="21"/>
      <c r="Q119" s="21"/>
      <c r="R119" s="21"/>
      <c r="S119" s="14"/>
      <c r="T119" s="15"/>
      <c r="U119" s="16"/>
      <c r="V119" s="16"/>
      <c r="W119" s="16"/>
      <c r="X119" s="16"/>
      <c r="Y119" s="16"/>
      <c r="Z119" s="17"/>
    </row>
    <row r="120" spans="1:26" x14ac:dyDescent="0.35">
      <c r="A120" s="11"/>
      <c r="B120" s="18"/>
      <c r="C120" s="18"/>
      <c r="D120" s="44"/>
      <c r="E120" s="91"/>
      <c r="F120" s="694"/>
      <c r="G120" s="117">
        <v>0.21</v>
      </c>
      <c r="H120" s="118"/>
      <c r="I120" s="116">
        <v>0.42</v>
      </c>
      <c r="J120" s="56">
        <v>0.5</v>
      </c>
      <c r="K120" s="21"/>
      <c r="L120" s="21"/>
      <c r="M120" s="21"/>
      <c r="N120" s="21"/>
      <c r="O120" s="21"/>
      <c r="P120" s="21"/>
      <c r="Q120" s="21"/>
      <c r="R120" s="21"/>
      <c r="S120" s="14"/>
      <c r="T120" s="15"/>
      <c r="U120" s="16"/>
      <c r="V120" s="16"/>
      <c r="W120" s="16"/>
      <c r="X120" s="16"/>
      <c r="Y120" s="16"/>
      <c r="Z120" s="17"/>
    </row>
    <row r="121" spans="1:26" ht="15" thickBot="1" x14ac:dyDescent="0.4">
      <c r="A121" s="11"/>
      <c r="B121" s="18"/>
      <c r="C121" s="18"/>
      <c r="D121" s="44"/>
      <c r="E121" s="91"/>
      <c r="F121" s="696"/>
      <c r="G121" s="124">
        <v>0</v>
      </c>
      <c r="H121" s="125"/>
      <c r="I121" s="126">
        <v>0.21</v>
      </c>
      <c r="J121" s="89">
        <v>0</v>
      </c>
      <c r="K121" s="21"/>
      <c r="L121" s="21"/>
      <c r="M121" s="21"/>
      <c r="N121" s="21"/>
      <c r="O121" s="21"/>
      <c r="P121" s="21"/>
      <c r="Q121" s="21"/>
      <c r="R121" s="21"/>
      <c r="S121" s="14"/>
      <c r="T121" s="15"/>
      <c r="U121" s="16"/>
      <c r="V121" s="16"/>
      <c r="W121" s="16"/>
      <c r="X121" s="16"/>
      <c r="Y121" s="16"/>
      <c r="Z121" s="17"/>
    </row>
    <row r="122" spans="1:26" ht="15" thickBot="1" x14ac:dyDescent="0.4">
      <c r="A122" s="36"/>
      <c r="B122" s="122"/>
      <c r="C122" s="122"/>
      <c r="D122" s="127"/>
      <c r="E122" s="128"/>
      <c r="F122" s="129"/>
      <c r="G122" s="129"/>
      <c r="H122" s="129"/>
      <c r="I122" s="130"/>
      <c r="J122" s="130"/>
      <c r="K122" s="130"/>
      <c r="L122" s="130"/>
      <c r="M122" s="130"/>
      <c r="N122" s="130"/>
      <c r="O122" s="130"/>
      <c r="P122" s="130"/>
      <c r="Q122" s="130"/>
      <c r="R122" s="130"/>
      <c r="S122" s="131"/>
      <c r="T122" s="132"/>
      <c r="U122" s="133"/>
      <c r="V122" s="133"/>
      <c r="W122" s="133"/>
      <c r="X122" s="133"/>
      <c r="Y122" s="133"/>
      <c r="Z122" s="134"/>
    </row>
    <row r="123" spans="1:26" x14ac:dyDescent="0.35">
      <c r="D123" s="135"/>
      <c r="Y123" s="2"/>
      <c r="Z123" s="2"/>
    </row>
    <row r="124" spans="1:26" x14ac:dyDescent="0.35">
      <c r="A124" s="688" t="s">
        <v>42</v>
      </c>
      <c r="B124" s="688"/>
      <c r="C124" s="135"/>
      <c r="H124" s="3"/>
      <c r="X124" s="2"/>
      <c r="Y124" s="2"/>
      <c r="Z124" s="2"/>
    </row>
    <row r="125" spans="1:26" x14ac:dyDescent="0.35">
      <c r="A125" s="136" t="s">
        <v>43</v>
      </c>
      <c r="C125" s="135"/>
      <c r="H125" s="3"/>
      <c r="X125" s="2"/>
      <c r="Y125" s="2"/>
      <c r="Z125" s="2"/>
    </row>
    <row r="126" spans="1:26" x14ac:dyDescent="0.35">
      <c r="D126" s="135"/>
      <c r="Y126" s="2"/>
      <c r="Z126" s="2"/>
    </row>
    <row r="127" spans="1:26" x14ac:dyDescent="0.35">
      <c r="D127" s="135"/>
      <c r="Y127" s="2"/>
      <c r="Z127" s="2"/>
    </row>
    <row r="128" spans="1:26" x14ac:dyDescent="0.35">
      <c r="D128" s="135"/>
      <c r="Y128" s="2"/>
      <c r="Z128" s="2"/>
    </row>
    <row r="129" spans="4:26" x14ac:dyDescent="0.35">
      <c r="D129" s="135"/>
      <c r="Y129" s="2"/>
      <c r="Z129" s="2"/>
    </row>
    <row r="130" spans="4:26" x14ac:dyDescent="0.35">
      <c r="D130" s="135"/>
      <c r="Y130" s="2"/>
      <c r="Z130" s="2"/>
    </row>
    <row r="131" spans="4:26" x14ac:dyDescent="0.35">
      <c r="D131" s="135"/>
    </row>
    <row r="132" spans="4:26" x14ac:dyDescent="0.35">
      <c r="D132" s="135"/>
    </row>
    <row r="133" spans="4:26" x14ac:dyDescent="0.35">
      <c r="D133" s="135"/>
    </row>
    <row r="134" spans="4:26" x14ac:dyDescent="0.35">
      <c r="D134" s="135"/>
    </row>
    <row r="135" spans="4:26" x14ac:dyDescent="0.35">
      <c r="D135" s="135"/>
    </row>
    <row r="136" spans="4:26" x14ac:dyDescent="0.35">
      <c r="D136" s="135"/>
    </row>
    <row r="137" spans="4:26" x14ac:dyDescent="0.35">
      <c r="D137" s="135"/>
    </row>
    <row r="138" spans="4:26" x14ac:dyDescent="0.35">
      <c r="D138" s="135"/>
    </row>
    <row r="139" spans="4:26" x14ac:dyDescent="0.35">
      <c r="D139" s="135"/>
    </row>
    <row r="140" spans="4:26" x14ac:dyDescent="0.35">
      <c r="D140" s="135"/>
    </row>
    <row r="141" spans="4:26" x14ac:dyDescent="0.35">
      <c r="D141" s="135"/>
    </row>
    <row r="142" spans="4:26" x14ac:dyDescent="0.35">
      <c r="D142" s="135"/>
    </row>
    <row r="143" spans="4:26" x14ac:dyDescent="0.35">
      <c r="D143" s="135"/>
    </row>
    <row r="144" spans="4:26" x14ac:dyDescent="0.35">
      <c r="D144" s="137"/>
    </row>
    <row r="145" spans="4:4" x14ac:dyDescent="0.35">
      <c r="D145" s="137"/>
    </row>
    <row r="146" spans="4:4" x14ac:dyDescent="0.35">
      <c r="D146" s="135"/>
    </row>
    <row r="147" spans="4:4" x14ac:dyDescent="0.35">
      <c r="D147" s="135"/>
    </row>
    <row r="148" spans="4:4" x14ac:dyDescent="0.35">
      <c r="D148" s="135"/>
    </row>
    <row r="149" spans="4:4" x14ac:dyDescent="0.35">
      <c r="D149" s="135"/>
    </row>
    <row r="150" spans="4:4" x14ac:dyDescent="0.35">
      <c r="D150" s="135"/>
    </row>
    <row r="151" spans="4:4" x14ac:dyDescent="0.35">
      <c r="D151" s="135"/>
    </row>
    <row r="152" spans="4:4" x14ac:dyDescent="0.35">
      <c r="D152" s="135"/>
    </row>
    <row r="153" spans="4:4" x14ac:dyDescent="0.35">
      <c r="D153" s="135"/>
    </row>
    <row r="154" spans="4:4" x14ac:dyDescent="0.35">
      <c r="D154" s="135"/>
    </row>
    <row r="155" spans="4:4" x14ac:dyDescent="0.35">
      <c r="D155" s="135"/>
    </row>
    <row r="156" spans="4:4" x14ac:dyDescent="0.35">
      <c r="D156" s="135"/>
    </row>
    <row r="157" spans="4:4" x14ac:dyDescent="0.35">
      <c r="D157" s="135"/>
    </row>
    <row r="158" spans="4:4" x14ac:dyDescent="0.35">
      <c r="D158" s="135"/>
    </row>
    <row r="159" spans="4:4" x14ac:dyDescent="0.35">
      <c r="D159" s="135"/>
    </row>
    <row r="160" spans="4:4" x14ac:dyDescent="0.35">
      <c r="D160" s="135"/>
    </row>
    <row r="161" spans="4:4" x14ac:dyDescent="0.35">
      <c r="D161" s="135"/>
    </row>
    <row r="162" spans="4:4" x14ac:dyDescent="0.35">
      <c r="D162" s="135"/>
    </row>
    <row r="163" spans="4:4" x14ac:dyDescent="0.35">
      <c r="D163" s="135"/>
    </row>
    <row r="164" spans="4:4" x14ac:dyDescent="0.35">
      <c r="D164" s="135"/>
    </row>
    <row r="165" spans="4:4" x14ac:dyDescent="0.35">
      <c r="D165" s="135"/>
    </row>
    <row r="166" spans="4:4" x14ac:dyDescent="0.35">
      <c r="D166" s="135"/>
    </row>
    <row r="167" spans="4:4" x14ac:dyDescent="0.35">
      <c r="D167" s="135"/>
    </row>
    <row r="168" spans="4:4" x14ac:dyDescent="0.35">
      <c r="D168" s="135"/>
    </row>
  </sheetData>
  <sheetProtection sheet="1" objects="1" scenarios="1"/>
  <mergeCells count="61">
    <mergeCell ref="T5:Z5"/>
    <mergeCell ref="F21:F24"/>
    <mergeCell ref="E5:S5"/>
    <mergeCell ref="B7:C7"/>
    <mergeCell ref="F7:J7"/>
    <mergeCell ref="F9:F12"/>
    <mergeCell ref="F13:F16"/>
    <mergeCell ref="B16:C16"/>
    <mergeCell ref="B17:C17"/>
    <mergeCell ref="F17:F20"/>
    <mergeCell ref="B18:C18"/>
    <mergeCell ref="A5:D5"/>
    <mergeCell ref="A6:D6"/>
    <mergeCell ref="F46:J46"/>
    <mergeCell ref="B56:C56"/>
    <mergeCell ref="B57:C57"/>
    <mergeCell ref="A70:D71"/>
    <mergeCell ref="A43:D44"/>
    <mergeCell ref="F25:F28"/>
    <mergeCell ref="B36:C36"/>
    <mergeCell ref="B37:C37"/>
    <mergeCell ref="B38:C38"/>
    <mergeCell ref="B42:C42"/>
    <mergeCell ref="A31:D32"/>
    <mergeCell ref="B82:C82"/>
    <mergeCell ref="B83:C83"/>
    <mergeCell ref="F100:J100"/>
    <mergeCell ref="F102:F105"/>
    <mergeCell ref="F79:F82"/>
    <mergeCell ref="F83:F86"/>
    <mergeCell ref="F87:F90"/>
    <mergeCell ref="F91:F94"/>
    <mergeCell ref="A97:D98"/>
    <mergeCell ref="A124:B124"/>
    <mergeCell ref="G8:I8"/>
    <mergeCell ref="F34:I34"/>
    <mergeCell ref="F48:F51"/>
    <mergeCell ref="F52:F55"/>
    <mergeCell ref="F56:F59"/>
    <mergeCell ref="F60:F63"/>
    <mergeCell ref="F64:F67"/>
    <mergeCell ref="F75:F78"/>
    <mergeCell ref="F106:F109"/>
    <mergeCell ref="B109:C110"/>
    <mergeCell ref="F110:F113"/>
    <mergeCell ref="B111:C111"/>
    <mergeCell ref="F114:F117"/>
    <mergeCell ref="F118:F121"/>
    <mergeCell ref="F73:J73"/>
    <mergeCell ref="V84:Y88"/>
    <mergeCell ref="V79:Y83"/>
    <mergeCell ref="W48:X48"/>
    <mergeCell ref="W49:X49"/>
    <mergeCell ref="W50:X50"/>
    <mergeCell ref="W51:X51"/>
    <mergeCell ref="W52:X52"/>
    <mergeCell ref="V54:V55"/>
    <mergeCell ref="Y54:Y55"/>
    <mergeCell ref="W54:X55"/>
    <mergeCell ref="V65:X65"/>
    <mergeCell ref="W53:X53"/>
  </mergeCells>
  <dataValidations count="6">
    <dataValidation type="list" allowBlank="1" showInputMessage="1" showErrorMessage="1" promptTitle="&lt;Select Applicable&gt;" prompt="Yes = Component is Rated_x000a_No= Component is Not Rated" sqref="A17 A37 A57 A83 A111" xr:uid="{A1F40A2E-75EE-49C0-9A34-4FA10AE03B32}">
      <formula1>"Yes,No"</formula1>
    </dataValidation>
    <dataValidation allowBlank="1" showInputMessage="1" showErrorMessage="1" promptTitle="&lt;Enter PI Percentage&gt;" prompt="*Achievement tab of Component Calculator this would be Cell G16_x000a_*Public Report Card this would be on the Achievement page.  _x000a_* Secure Data Center this would be SDC&gt;Local Report Card&gt;District(School) Local Report Card&gt;Achievement&gt; Performance Index Detail_x000a_" sqref="B17:C17" xr:uid="{C1DAE084-3515-4197-B31F-3F25368FB8F5}"/>
    <dataValidation allowBlank="1" showInputMessage="1" showErrorMessage="1" promptTitle="&lt;Progress Star Rating&gt;" prompt="*Progress tab of Component Calculator this would be Cells JK16 &amp; 17_x000a_*Public Report Card this would be on the Progress page.  _x000a_* Secure Data Center this would be SDC&gt;Local Report Card&gt;District(School) Local Report Card&gt;Progress_x000a_" sqref="B37:C37" xr:uid="{4F369065-0692-42B1-9645-A7EE683A975E}"/>
    <dataValidation allowBlank="1" showInputMessage="1" showErrorMessage="1" promptTitle="&lt;Gap Closing Percentage&gt;" prompt="*Gap Closing tab of Component Calculator this would be Cell S47_x000a_*Public Report Card this would be on the Gap Closing page.  _x000a_* Secure Data Center this would be SDC&gt;Local Report Card&gt;District(School) Local Report Card&gt;Gap Closing&gt;Final Percent" sqref="B57:C57" xr:uid="{7AAF6E42-00A9-40B2-9849-4D7CAE9D382B}"/>
    <dataValidation allowBlank="1" showInputMessage="1" showErrorMessage="1" promptTitle="&lt;Early Literacy Percentage&gt;" prompt="*Early Literacy tab of Component Calculator this would be Cell K18_x000a_*Public Report Card this would be on the Early Literacy page.  _x000a_* Secure Data Center this would be SDC&gt;Local Report Card&gt;District(School) Local Report Card&gt;Early Literacy" sqref="B83:C83" xr:uid="{C7BEFF81-E48E-439B-9999-ED373B980F6E}"/>
    <dataValidation allowBlank="1" showInputMessage="1" showErrorMessage="1" prompt="*Graduation tab of Component Calculator this would be Cell I12_x000a_*Public Report Card this would be on the Graduation page.  _x000a_* Secure Data Center this would be SDC&gt;Local Report Card&gt;District(School) Local Report Card&gt;Graduation Rates" sqref="B111:C111" xr:uid="{A143A2C0-E5E8-4AD9-B804-493467D309E0}"/>
  </dataValidations>
  <hyperlinks>
    <hyperlink ref="A124:B124" r:id="rId1" display="Technical Document" xr:uid="{4AB99439-5CF7-481E-9A96-DD15B7896288}"/>
    <hyperlink ref="A125" r:id="rId2" xr:uid="{317A4AC1-E983-47F2-8B23-A71F4F8E75BC}"/>
  </hyperlinks>
  <pageMargins left="0.7" right="0.7" top="0.75" bottom="0.75" header="0.3" footer="0.3"/>
  <pageSetup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C2D9E3328D824581A36C84C74D458F" ma:contentTypeVersion="16" ma:contentTypeDescription="Create a new document." ma:contentTypeScope="" ma:versionID="95caef906b3a9d302006c838b4e723df">
  <xsd:schema xmlns:xsd="http://www.w3.org/2001/XMLSchema" xmlns:xs="http://www.w3.org/2001/XMLSchema" xmlns:p="http://schemas.microsoft.com/office/2006/metadata/properties" xmlns:ns2="5a14d5a2-3555-46ad-a571-d95bd6d4f0d4" xmlns:ns3="c05996b0-b3ea-4dbd-ace5-d3cfa9bcec47" xmlns:ns4="06a0b0f5-ab3f-4382-8730-459fb424e421" targetNamespace="http://schemas.microsoft.com/office/2006/metadata/properties" ma:root="true" ma:fieldsID="6122701e67c914ed4b06ca2e75f07db7" ns2:_="" ns3:_="" ns4:_="">
    <xsd:import namespace="5a14d5a2-3555-46ad-a571-d95bd6d4f0d4"/>
    <xsd:import namespace="c05996b0-b3ea-4dbd-ace5-d3cfa9bcec47"/>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14d5a2-3555-46ad-a571-d95bd6d4f0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5996b0-b3ea-4dbd-ace5-d3cfa9bcec4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4819a31-5316-4709-999e-095b865994d4}" ma:internalName="TaxCatchAll" ma:showField="CatchAllData" ma:web="c05996b0-b3ea-4dbd-ace5-d3cfa9bce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5a14d5a2-3555-46ad-a571-d95bd6d4f0d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E9DE9-1210-4685-8462-8F52CDFD24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14d5a2-3555-46ad-a571-d95bd6d4f0d4"/>
    <ds:schemaRef ds:uri="c05996b0-b3ea-4dbd-ace5-d3cfa9bcec47"/>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6EC367-7F5F-4B8A-9102-3F7069AB1901}">
  <ds:schemaRefs>
    <ds:schemaRef ds:uri="c05996b0-b3ea-4dbd-ace5-d3cfa9bcec47"/>
    <ds:schemaRef ds:uri="http://schemas.microsoft.com/office/infopath/2007/PartnerControls"/>
    <ds:schemaRef ds:uri="http://purl.org/dc/dcmitype/"/>
    <ds:schemaRef ds:uri="06a0b0f5-ab3f-4382-8730-459fb424e421"/>
    <ds:schemaRef ds:uri="http://purl.org/dc/elements/1.1/"/>
    <ds:schemaRef ds:uri="http://schemas.microsoft.com/office/2006/documentManagement/types"/>
    <ds:schemaRef ds:uri="5a14d5a2-3555-46ad-a571-d95bd6d4f0d4"/>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B4B6F8B-936C-4C54-9C81-9872F29873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Notes</vt:lpstr>
      <vt:lpstr>Achievement</vt:lpstr>
      <vt:lpstr>Progress</vt:lpstr>
      <vt:lpstr>Gap Closing</vt:lpstr>
      <vt:lpstr>Gifted Id and Srvcs - Building</vt:lpstr>
      <vt:lpstr>Gifted Id and Srvcs - District</vt:lpstr>
      <vt:lpstr>Early Literacy</vt:lpstr>
      <vt:lpstr>Graduation</vt:lpstr>
      <vt:lpstr>Overall </vt:lpstr>
      <vt:lpstr>Imporv3rd_weight</vt:lpstr>
      <vt:lpstr>Improvk3</vt:lpstr>
      <vt:lpstr>K10_Yes_No</vt:lpstr>
      <vt:lpstr>K3_Yes_No</vt:lpstr>
      <vt:lpstr>Prof3rd</vt:lpstr>
      <vt:lpstr>Prof3rd_weight</vt:lpstr>
      <vt:lpstr>Promo4th</vt:lpstr>
      <vt:lpstr>Promo4th_weight</vt:lpstr>
      <vt:lpstr>Total_Weighted_Points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Fustin, Michael</dc:creator>
  <cp:keywords/>
  <dc:description/>
  <cp:lastModifiedBy>The Department of Education and Workforce</cp:lastModifiedBy>
  <cp:revision/>
  <dcterms:created xsi:type="dcterms:W3CDTF">2023-02-21T22:08:35Z</dcterms:created>
  <dcterms:modified xsi:type="dcterms:W3CDTF">2024-10-15T15:00:32Z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0x010100A0C2D9E3328D824581A36C84C74D458F</vt:lpwstr>
  </property>
  <property fmtid="{D5CDD505-2E9C-101B-9397-08002B2CF9AE}" pid="3" name="MediaServiceImageTags">
    <vt:lpwstr/>
  </property>
</Properties>
</file>