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defaultThemeVersion="166925"/>
  <mc:AlternateContent xmlns:mc="http://schemas.openxmlformats.org/markup-compatibility/2006">
    <mc:Choice Requires="x15">
      <x15ac:absPath xmlns:x15ac="http://schemas.microsoft.com/office/spreadsheetml/2010/11/ac" url="https://ohiodas-my.sharepoint.com/personal/10036878_id_ohio_gov/Documents/Desktop/Simulations - various/FY25 Simulator/"/>
    </mc:Choice>
  </mc:AlternateContent>
  <xr:revisionPtr revIDLastSave="0" documentId="13_ncr:1_{BD8D116C-A316-4377-A14F-F4E5D1C3F962}" xr6:coauthVersionLast="47" xr6:coauthVersionMax="47" xr10:uidLastSave="{00000000-0000-0000-0000-000000000000}"/>
  <workbookProtection workbookAlgorithmName="SHA-512" workbookHashValue="NYn65UD3x8dg3unZZ3FXs1FHqyBJOeSeH4NAS0kidnqli2MqFFtIeQrsSCCW7ogqI+bJB3zVeq8jkRFlPst8Cw==" workbookSaltValue="clI57G7ubLnbjtGp8sPEwg==" workbookSpinCount="100000" lockStructure="1"/>
  <bookViews>
    <workbookView xWindow="-120" yWindow="-120" windowWidth="29040" windowHeight="15720" firstSheet="2" activeTab="2" xr2:uid="{00000000-000D-0000-FFFF-FFFF00000000}"/>
  </bookViews>
  <sheets>
    <sheet name="Sheet2" sheetId="25" state="hidden" r:id="rId1"/>
    <sheet name="JVSD TY23 Projected" sheetId="31" state="hidden" r:id="rId2"/>
    <sheet name="Directions" sheetId="30" r:id="rId3"/>
    <sheet name="Detailed SFPR" sheetId="18" r:id="rId4"/>
    <sheet name="Summary SFPR" sheetId="23" r:id="rId5"/>
    <sheet name="ADM Data" sheetId="4" r:id="rId6"/>
    <sheet name="Valuation " sheetId="29" r:id="rId7"/>
    <sheet name="DPIA" sheetId="7" state="hidden" r:id="rId8"/>
    <sheet name="Summary SFPR_Calc" sheetId="13" state="hidden" r:id="rId9"/>
    <sheet name="BC ADM" sheetId="1" state="hidden" r:id="rId10"/>
    <sheet name="Base Cost ADM" sheetId="21" state="hidden" r:id="rId11"/>
    <sheet name="Valuation_data" sheetId="19" state="hidden" r:id="rId12"/>
    <sheet name="CTE" sheetId="8" state="hidden" r:id="rId13"/>
    <sheet name="EL" sheetId="10" state="hidden" r:id="rId14"/>
    <sheet name="State Share Base Cost" sheetId="5" state="hidden" r:id="rId15"/>
    <sheet name="Base Cost_Calc" sheetId="3" state="hidden" r:id="rId16"/>
    <sheet name="Notes" sheetId="27" state="hidden" r:id="rId17"/>
    <sheet name="Detailed SFPR_Calc" sheetId="11" state="hidden" r:id="rId18"/>
    <sheet name="Special Edu" sheetId="6" state="hidden" r:id="rId19"/>
    <sheet name="Base Cost Report" sheetId="24" state="hidden" r:id="rId20"/>
    <sheet name="new__detail_sfpr_adm" sheetId="22" state="hidden" r:id="rId21"/>
    <sheet name="TY20" sheetId="20" state="hidden" r:id="rId22"/>
    <sheet name="Valuation" sheetId="2" state="hidden" r:id="rId23"/>
    <sheet name="fy22_fte" sheetId="16" state="hidden" r:id="rId24"/>
    <sheet name="fy22 adm" sheetId="17" state="hidden" r:id="rId25"/>
    <sheet name="base_fte" sheetId="15" state="hidden" r:id="rId26"/>
    <sheet name="FY20_JVS" sheetId="14" state="hidden" r:id="rId27"/>
    <sheet name="JVSD_OtherAdjustments" sheetId="26" state="hidden" r:id="rId28"/>
  </sheets>
  <definedNames>
    <definedName name="____oct1" localSheetId="19">#REF!</definedName>
    <definedName name="____oct1" localSheetId="2">#REF!</definedName>
    <definedName name="____oct1" localSheetId="4">#REF!</definedName>
    <definedName name="____oct1">#REF!</definedName>
    <definedName name="___oct1" localSheetId="19">#REF!</definedName>
    <definedName name="___oct1" localSheetId="2">#REF!</definedName>
    <definedName name="___oct1" localSheetId="4">#REF!</definedName>
    <definedName name="___oct1">#REF!</definedName>
    <definedName name="__oct1" localSheetId="19">#REF!</definedName>
    <definedName name="__oct1" localSheetId="2">#REF!</definedName>
    <definedName name="__oct1" localSheetId="4">#REF!</definedName>
    <definedName name="__oct1">#REF!</definedName>
    <definedName name="_xlnm._FilterDatabase" localSheetId="5" hidden="1">'ADM Data'!$A$1:$Y$50</definedName>
    <definedName name="_xlnm._FilterDatabase" localSheetId="10" hidden="1">'Base Cost ADM'!$A$2:$H$2</definedName>
    <definedName name="_xlnm._FilterDatabase" localSheetId="9" hidden="1">'BC ADM'!$A$2:$AN$2</definedName>
    <definedName name="_xlnm._FilterDatabase" localSheetId="20" hidden="1">new__detail_sfpr_adm!$A$1:$T$1</definedName>
    <definedName name="_xlnm._FilterDatabase" localSheetId="6" hidden="1">'Valuation '!$A$1:$F$50</definedName>
    <definedName name="_xlnm._FilterDatabase" localSheetId="11" hidden="1">Valuation_data!$A$2:$H$51</definedName>
    <definedName name="_Hlk78735370" localSheetId="4">'Summary SFPR'!#REF!</definedName>
    <definedName name="_Hlk79745970" localSheetId="19">'Base Cost Report'!$B$13</definedName>
    <definedName name="_oct1" localSheetId="19">#REF!</definedName>
    <definedName name="_oct1" localSheetId="2">#REF!</definedName>
    <definedName name="_oct1" localSheetId="4">#REF!</definedName>
    <definedName name="_oct1">#REF!</definedName>
    <definedName name="_Order1" hidden="1">255</definedName>
    <definedName name="_Order2" hidden="1">255</definedName>
    <definedName name="_pg10" localSheetId="19">#REF!</definedName>
    <definedName name="_pg10" localSheetId="2">#REF!</definedName>
    <definedName name="_pg10" localSheetId="4">#REF!</definedName>
    <definedName name="_pg10">#REF!</definedName>
    <definedName name="_pg11" localSheetId="19">#REF!</definedName>
    <definedName name="_pg11" localSheetId="4">#REF!</definedName>
    <definedName name="_pg11">#REF!</definedName>
    <definedName name="_pg12" localSheetId="4">#REF!</definedName>
    <definedName name="_pg12">#REF!</definedName>
    <definedName name="_pg13" localSheetId="4">#REF!</definedName>
    <definedName name="_pg13">#REF!</definedName>
    <definedName name="_pg2" localSheetId="4">#REF!</definedName>
    <definedName name="_pg2">#REF!</definedName>
    <definedName name="_pg3" localSheetId="4">#REF!</definedName>
    <definedName name="_pg3">#REF!</definedName>
    <definedName name="_pg4" localSheetId="4">#REF!</definedName>
    <definedName name="_pg4">#REF!</definedName>
    <definedName name="_pg5" localSheetId="4">#REF!</definedName>
    <definedName name="_pg5">#REF!</definedName>
    <definedName name="_pg6" localSheetId="4">#REF!</definedName>
    <definedName name="_pg6">#REF!</definedName>
    <definedName name="_pg7" localSheetId="4">#REF!</definedName>
    <definedName name="_pg7">#REF!</definedName>
    <definedName name="_pg8" localSheetId="4">#REF!</definedName>
    <definedName name="_pg8">#REF!</definedName>
    <definedName name="_pg9" localSheetId="4">#REF!</definedName>
    <definedName name="_pg9">#REF!</definedName>
    <definedName name="Allrat11_update" localSheetId="19">#REF!</definedName>
    <definedName name="Allrat11_update" localSheetId="2">#REF!</definedName>
    <definedName name="Allrat11_update" localSheetId="4">#REF!</definedName>
    <definedName name="Allrat11_update">#REF!</definedName>
    <definedName name="_xlnm.Database" localSheetId="19">#REF!</definedName>
    <definedName name="_xlnm.Database" localSheetId="2">#REF!</definedName>
    <definedName name="_xlnm.Database" localSheetId="4">#REF!</definedName>
    <definedName name="_xlnm.Database">#REF!</definedName>
    <definedName name="DISTRICT" localSheetId="19">#REF!</definedName>
    <definedName name="DISTRICT" localSheetId="2">#REF!</definedName>
    <definedName name="DISTRICT" localSheetId="4">#REF!</definedName>
    <definedName name="DISTRICT">#REF!</definedName>
    <definedName name="NO" localSheetId="19">#REF!</definedName>
    <definedName name="NO" localSheetId="4">#REF!</definedName>
    <definedName name="NO">#REF!</definedName>
    <definedName name="October" localSheetId="19">#REF!</definedName>
    <definedName name="October" localSheetId="2">#REF!</definedName>
    <definedName name="October" localSheetId="4">#REF!</definedName>
    <definedName name="October">#REF!</definedName>
    <definedName name="Rollup_community_file_denormalized_into_category_FTEs1" localSheetId="19">#REF!</definedName>
    <definedName name="Rollup_community_file_denormalized_into_category_FTEs1" localSheetId="4">#REF!</definedName>
    <definedName name="Rollup_community_file_denormalized_into_category_FTEs1">#REF!</definedName>
    <definedName name="TypeIII" localSheetId="2">#REF!</definedName>
    <definedName name="TypeIII">#REF!</definedName>
    <definedName name="TypeIV" localSheetId="2">#REF!</definedName>
    <definedName name="TypeIV">#REF!</definedName>
    <definedName name="TypeV" localSheetId="2">#REF!</definedName>
    <definedName name="TypeV">#REF!</definedName>
    <definedName name="TypeVI" localSheetId="2">#REF!</definedName>
    <definedName name="TypeVI">#REF!</definedName>
    <definedName name="xxx" localSheetId="19">#REF!</definedName>
    <definedName name="xxx" localSheetId="2">#REF!</definedName>
    <definedName name="xxx" localSheetId="4">#REF!</definedName>
    <definedName name="xxx">#REF!</definedName>
  </definedNames>
  <calcPr calcId="191028"/>
  <pivotCaches>
    <pivotCache cacheId="0" r:id="rId29"/>
    <pivotCache cacheId="1" r:id="rId3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5" l="1"/>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3" i="5"/>
  <c r="AS7" i="3"/>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3" i="1"/>
  <c r="T52" i="4"/>
  <c r="U52" i="4"/>
  <c r="E52" i="21"/>
  <c r="F52" i="21"/>
  <c r="G52" i="21"/>
  <c r="H52" i="21"/>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 i="6"/>
  <c r="C3" i="3"/>
  <c r="AV54" i="13"/>
  <c r="Y52" i="4" l="1"/>
  <c r="X52" i="4"/>
  <c r="W52" i="4"/>
  <c r="V52" i="4"/>
  <c r="H2" i="7"/>
  <c r="E52" i="4"/>
  <c r="F52" i="4"/>
  <c r="G52" i="4"/>
  <c r="H52" i="4"/>
  <c r="I52" i="4"/>
  <c r="J52" i="4"/>
  <c r="K52" i="4"/>
  <c r="K25" i="18" s="1"/>
  <c r="L52" i="4"/>
  <c r="K29" i="18" s="1"/>
  <c r="M52" i="4"/>
  <c r="K30" i="18" s="1"/>
  <c r="N52" i="4"/>
  <c r="K31" i="18" s="1"/>
  <c r="O52" i="4"/>
  <c r="K33" i="18" s="1"/>
  <c r="P52" i="4"/>
  <c r="K34" i="18" s="1"/>
  <c r="Q52" i="4"/>
  <c r="K35" i="18" s="1"/>
  <c r="R52" i="4"/>
  <c r="K36" i="18" s="1"/>
  <c r="S52" i="4"/>
  <c r="K37" i="18" s="1"/>
  <c r="D52" i="4"/>
  <c r="H5" i="8" l="1"/>
  <c r="D4" i="19"/>
  <c r="D5" i="19"/>
  <c r="D6" i="19"/>
  <c r="D7" i="19"/>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3" i="19"/>
  <c r="F52" i="29"/>
  <c r="E52" i="29"/>
  <c r="D52" i="29"/>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 i="8"/>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 i="10"/>
  <c r="F5" i="8" l="1"/>
  <c r="G5" i="10"/>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 i="7"/>
  <c r="G1" i="8" l="1"/>
  <c r="I1" i="6"/>
  <c r="AU54" i="13"/>
  <c r="E52" i="19"/>
  <c r="F52" i="19"/>
  <c r="C8" i="18"/>
  <c r="C7" i="23"/>
  <c r="F13" i="23" l="1"/>
  <c r="L28" i="23"/>
  <c r="D52" i="19"/>
  <c r="L38" i="18" s="1"/>
  <c r="AU1" i="3"/>
  <c r="AM1" i="3"/>
  <c r="D52" i="21" l="1"/>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7" i="3"/>
  <c r="G4" i="19"/>
  <c r="G5" i="19"/>
  <c r="G6" i="19"/>
  <c r="G7" i="19"/>
  <c r="G8" i="19"/>
  <c r="G9" i="19"/>
  <c r="G10" i="19"/>
  <c r="H10" i="19" s="1"/>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42" i="19"/>
  <c r="G43" i="19"/>
  <c r="G44" i="19"/>
  <c r="G45" i="19"/>
  <c r="G46" i="19"/>
  <c r="G47" i="19"/>
  <c r="G48" i="19"/>
  <c r="G49" i="19"/>
  <c r="G50" i="19"/>
  <c r="G51" i="19"/>
  <c r="G3" i="19"/>
  <c r="H42" i="27"/>
  <c r="G42" i="27"/>
  <c r="F42" i="27"/>
  <c r="E42" i="27"/>
  <c r="D42" i="27"/>
  <c r="I41" i="27"/>
  <c r="I40" i="27"/>
  <c r="I39" i="27"/>
  <c r="I38" i="27"/>
  <c r="I37" i="27"/>
  <c r="I36" i="27"/>
  <c r="H35" i="27"/>
  <c r="G35" i="27"/>
  <c r="F35" i="27"/>
  <c r="E35" i="27"/>
  <c r="D35" i="27"/>
  <c r="I34" i="27"/>
  <c r="I33" i="27"/>
  <c r="I32" i="27"/>
  <c r="I31" i="27"/>
  <c r="I30" i="27"/>
  <c r="I29" i="27"/>
  <c r="I28" i="27"/>
  <c r="I27" i="27"/>
  <c r="I26" i="27"/>
  <c r="I25" i="27"/>
  <c r="I24" i="27"/>
  <c r="G52" i="19" l="1"/>
  <c r="L39" i="18" s="1"/>
  <c r="I42" i="27"/>
  <c r="H5" i="19"/>
  <c r="D5" i="5" s="1"/>
  <c r="D10" i="5"/>
  <c r="H3" i="19"/>
  <c r="H19" i="19"/>
  <c r="D19" i="5" s="1"/>
  <c r="H44" i="19"/>
  <c r="D44" i="5" s="1"/>
  <c r="H18" i="19"/>
  <c r="D18" i="5" s="1"/>
  <c r="H36" i="19"/>
  <c r="D36" i="5" s="1"/>
  <c r="H13" i="19"/>
  <c r="D13" i="5" s="1"/>
  <c r="H34" i="19"/>
  <c r="D34" i="5" s="1"/>
  <c r="H12" i="19"/>
  <c r="D12" i="5" s="1"/>
  <c r="H28" i="19"/>
  <c r="D28" i="5" s="1"/>
  <c r="H11" i="19"/>
  <c r="D11" i="5" s="1"/>
  <c r="H27" i="19"/>
  <c r="D27" i="5" s="1"/>
  <c r="H26" i="19"/>
  <c r="D26" i="5" s="1"/>
  <c r="H6" i="19"/>
  <c r="D6" i="5" s="1"/>
  <c r="H20" i="19"/>
  <c r="D20" i="5" s="1"/>
  <c r="H51" i="19"/>
  <c r="D51" i="5" s="1"/>
  <c r="H43" i="19"/>
  <c r="D43" i="5" s="1"/>
  <c r="H35" i="19"/>
  <c r="D35" i="5" s="1"/>
  <c r="H50" i="19"/>
  <c r="D50" i="5" s="1"/>
  <c r="H42" i="19"/>
  <c r="D42" i="5" s="1"/>
  <c r="H4" i="19"/>
  <c r="D4" i="5" s="1"/>
  <c r="H49" i="19"/>
  <c r="D49" i="5" s="1"/>
  <c r="H41" i="19"/>
  <c r="D41" i="5" s="1"/>
  <c r="H33" i="19"/>
  <c r="D33" i="5" s="1"/>
  <c r="H25" i="19"/>
  <c r="D25" i="5" s="1"/>
  <c r="H17" i="19"/>
  <c r="D17" i="5" s="1"/>
  <c r="H9" i="19"/>
  <c r="D9" i="5" s="1"/>
  <c r="H48" i="19"/>
  <c r="D48" i="5" s="1"/>
  <c r="H40" i="19"/>
  <c r="D40" i="5" s="1"/>
  <c r="H32" i="19"/>
  <c r="D32" i="5" s="1"/>
  <c r="H24" i="19"/>
  <c r="D24" i="5" s="1"/>
  <c r="H16" i="19"/>
  <c r="D16" i="5" s="1"/>
  <c r="H8" i="19"/>
  <c r="D8" i="5" s="1"/>
  <c r="H47" i="19"/>
  <c r="D47" i="5" s="1"/>
  <c r="H39" i="19"/>
  <c r="D39" i="5" s="1"/>
  <c r="H31" i="19"/>
  <c r="D31" i="5" s="1"/>
  <c r="H23" i="19"/>
  <c r="D23" i="5" s="1"/>
  <c r="H15" i="19"/>
  <c r="D15" i="5" s="1"/>
  <c r="H7" i="19"/>
  <c r="D7" i="5" s="1"/>
  <c r="H46" i="19"/>
  <c r="D46" i="5" s="1"/>
  <c r="H38" i="19"/>
  <c r="D38" i="5" s="1"/>
  <c r="H30" i="19"/>
  <c r="D30" i="5" s="1"/>
  <c r="H22" i="19"/>
  <c r="D22" i="5" s="1"/>
  <c r="H14" i="19"/>
  <c r="D14" i="5" s="1"/>
  <c r="H45" i="19"/>
  <c r="D45" i="5" s="1"/>
  <c r="H37" i="19"/>
  <c r="D37" i="5" s="1"/>
  <c r="H29" i="19"/>
  <c r="D29" i="5" s="1"/>
  <c r="H21" i="19"/>
  <c r="D21" i="5" s="1"/>
  <c r="I35" i="27"/>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7" i="3"/>
  <c r="H52" i="19" l="1"/>
  <c r="L40" i="18" s="1"/>
  <c r="D3" i="5"/>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7" i="3"/>
  <c r="AO56" i="3" l="1"/>
  <c r="AB56" i="3"/>
  <c r="K56" i="3"/>
  <c r="G56" i="3"/>
  <c r="L13" i="24"/>
  <c r="K32" i="24"/>
  <c r="AS56" i="3"/>
  <c r="K31" i="24"/>
  <c r="K30" i="24"/>
  <c r="K29" i="24"/>
  <c r="K28" i="24"/>
  <c r="K27" i="24"/>
  <c r="K26" i="24"/>
  <c r="K24" i="24"/>
  <c r="K23" i="24"/>
  <c r="K22" i="24"/>
  <c r="K21" i="24"/>
  <c r="K20" i="24"/>
  <c r="K19" i="24"/>
  <c r="K18" i="24"/>
  <c r="K17" i="24"/>
  <c r="K16" i="24"/>
  <c r="K15" i="24"/>
  <c r="H48" i="1" l="1"/>
  <c r="D52" i="3" s="1"/>
  <c r="H40" i="1"/>
  <c r="D44" i="3" s="1"/>
  <c r="H32" i="1"/>
  <c r="D36" i="3" s="1"/>
  <c r="H24" i="1"/>
  <c r="D28" i="3" s="1"/>
  <c r="H16" i="1"/>
  <c r="D20" i="3" s="1"/>
  <c r="H8" i="1"/>
  <c r="D12" i="3" s="1"/>
  <c r="H45" i="1"/>
  <c r="D49" i="3" s="1"/>
  <c r="H37" i="1"/>
  <c r="D41" i="3" s="1"/>
  <c r="H29" i="1"/>
  <c r="D33" i="3" s="1"/>
  <c r="H21" i="1"/>
  <c r="D25" i="3" s="1"/>
  <c r="H13" i="1"/>
  <c r="D17" i="3" s="1"/>
  <c r="H5" i="1"/>
  <c r="D9" i="3" s="1"/>
  <c r="H46" i="1"/>
  <c r="D50" i="3" s="1"/>
  <c r="H38" i="1"/>
  <c r="D42" i="3" s="1"/>
  <c r="H30" i="1"/>
  <c r="D34" i="3" s="1"/>
  <c r="H22" i="1"/>
  <c r="D26" i="3" s="1"/>
  <c r="H14" i="1"/>
  <c r="D18" i="3" s="1"/>
  <c r="H6" i="1"/>
  <c r="D10" i="3" s="1"/>
  <c r="H50" i="1"/>
  <c r="D54" i="3" s="1"/>
  <c r="H42" i="1"/>
  <c r="D46" i="3" s="1"/>
  <c r="H34" i="1"/>
  <c r="D38" i="3" s="1"/>
  <c r="H26" i="1"/>
  <c r="D30" i="3" s="1"/>
  <c r="H18" i="1"/>
  <c r="D22" i="3" s="1"/>
  <c r="H10" i="1"/>
  <c r="D14" i="3" s="1"/>
  <c r="H51" i="1"/>
  <c r="D55" i="3" s="1"/>
  <c r="H43" i="1"/>
  <c r="D47" i="3" s="1"/>
  <c r="H35" i="1"/>
  <c r="D39" i="3" s="1"/>
  <c r="H27" i="1"/>
  <c r="D31" i="3" s="1"/>
  <c r="H19" i="1"/>
  <c r="D23" i="3" s="1"/>
  <c r="H11" i="1"/>
  <c r="D15" i="3" s="1"/>
  <c r="H47" i="1"/>
  <c r="D51" i="3" s="1"/>
  <c r="H39" i="1"/>
  <c r="D43" i="3" s="1"/>
  <c r="H31" i="1"/>
  <c r="D35" i="3" s="1"/>
  <c r="H23" i="1"/>
  <c r="D27" i="3" s="1"/>
  <c r="H15" i="1"/>
  <c r="D19" i="3" s="1"/>
  <c r="H7" i="1"/>
  <c r="D11" i="3" s="1"/>
  <c r="H3" i="1"/>
  <c r="D7" i="3" s="1"/>
  <c r="H44" i="1"/>
  <c r="D48" i="3" s="1"/>
  <c r="H36" i="1"/>
  <c r="D40" i="3" s="1"/>
  <c r="H28" i="1"/>
  <c r="D32" i="3" s="1"/>
  <c r="H20" i="1"/>
  <c r="D24" i="3" s="1"/>
  <c r="H12" i="1"/>
  <c r="D16" i="3" s="1"/>
  <c r="H4" i="1"/>
  <c r="D8" i="3" s="1"/>
  <c r="H49" i="1"/>
  <c r="D53" i="3" s="1"/>
  <c r="H41" i="1"/>
  <c r="D45" i="3" s="1"/>
  <c r="H33" i="1"/>
  <c r="D37" i="3" s="1"/>
  <c r="H25" i="1"/>
  <c r="D29" i="3" s="1"/>
  <c r="H17" i="1"/>
  <c r="D21" i="3" s="1"/>
  <c r="H9" i="1"/>
  <c r="D13" i="3" s="1"/>
  <c r="L7" i="24"/>
  <c r="E7" i="24"/>
  <c r="AJ6" i="13"/>
  <c r="AJ7" i="13"/>
  <c r="AJ8" i="13"/>
  <c r="AJ9" i="13"/>
  <c r="AJ10" i="13"/>
  <c r="AJ11" i="13"/>
  <c r="AJ12" i="13"/>
  <c r="AJ13" i="13"/>
  <c r="AJ14" i="13"/>
  <c r="AJ15" i="13"/>
  <c r="AJ16" i="13"/>
  <c r="AJ17" i="13"/>
  <c r="AJ18" i="13"/>
  <c r="AJ19" i="13"/>
  <c r="AJ20" i="13"/>
  <c r="AJ21" i="13"/>
  <c r="AJ22" i="13"/>
  <c r="AJ23" i="13"/>
  <c r="AJ24" i="13"/>
  <c r="AJ25" i="13"/>
  <c r="AJ26" i="13"/>
  <c r="AJ27" i="13"/>
  <c r="AJ28" i="13"/>
  <c r="AJ29" i="13"/>
  <c r="AJ30" i="13"/>
  <c r="AJ31" i="13"/>
  <c r="AJ32" i="13"/>
  <c r="AJ33" i="13"/>
  <c r="AJ34" i="13"/>
  <c r="AJ35" i="13"/>
  <c r="AJ36" i="13"/>
  <c r="AJ37" i="13"/>
  <c r="AJ38" i="13"/>
  <c r="AJ39" i="13"/>
  <c r="AJ40" i="13"/>
  <c r="AJ41" i="13"/>
  <c r="AJ42" i="13"/>
  <c r="AJ43" i="13"/>
  <c r="AJ44" i="13"/>
  <c r="AJ45" i="13"/>
  <c r="AJ46" i="13"/>
  <c r="AJ47" i="13"/>
  <c r="AJ48" i="13"/>
  <c r="AJ49" i="13"/>
  <c r="AJ50" i="13"/>
  <c r="AJ51" i="13"/>
  <c r="AJ52" i="13"/>
  <c r="AJ53" i="13"/>
  <c r="AJ5" i="13"/>
  <c r="AG54" i="13"/>
  <c r="AH54" i="13"/>
  <c r="AI54" i="13"/>
  <c r="L7" i="23"/>
  <c r="E7" i="23"/>
  <c r="AF54" i="13"/>
  <c r="AJ54" i="13" l="1"/>
  <c r="T51" i="22"/>
  <c r="S51" i="22"/>
  <c r="R51" i="22"/>
  <c r="Q51" i="22"/>
  <c r="P51" i="22"/>
  <c r="O51" i="22"/>
  <c r="N51" i="22"/>
  <c r="M51" i="22"/>
  <c r="L51" i="22"/>
  <c r="K51" i="22"/>
  <c r="J51" i="22"/>
  <c r="I51" i="22"/>
  <c r="H51" i="22"/>
  <c r="G51" i="22"/>
  <c r="F51" i="22"/>
  <c r="E51" i="22"/>
  <c r="D51" i="22"/>
  <c r="C51" i="22"/>
  <c r="B51" i="22"/>
  <c r="E4" i="2" l="1"/>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3" i="2"/>
  <c r="F59" i="20"/>
  <c r="E59" i="20"/>
  <c r="D59" i="20"/>
  <c r="C59" i="20"/>
  <c r="U5" i="15"/>
  <c r="U6" i="15"/>
  <c r="U7" i="15"/>
  <c r="U8" i="15"/>
  <c r="U9" i="15"/>
  <c r="U10" i="15"/>
  <c r="U11" i="15"/>
  <c r="U12" i="15"/>
  <c r="U13" i="15"/>
  <c r="U14" i="15"/>
  <c r="U15" i="15"/>
  <c r="U16" i="15"/>
  <c r="U17" i="15"/>
  <c r="U18" i="15"/>
  <c r="U19" i="15"/>
  <c r="U20" i="15"/>
  <c r="U21" i="15"/>
  <c r="U22" i="15"/>
  <c r="U23" i="15"/>
  <c r="U24" i="15"/>
  <c r="U25" i="15"/>
  <c r="U26" i="15"/>
  <c r="U27" i="15"/>
  <c r="U28" i="15"/>
  <c r="U29" i="15"/>
  <c r="U30" i="15"/>
  <c r="U31" i="15"/>
  <c r="U32" i="15"/>
  <c r="U33" i="15"/>
  <c r="U34" i="15"/>
  <c r="U35" i="15"/>
  <c r="U36" i="15"/>
  <c r="U37" i="15"/>
  <c r="U38" i="15"/>
  <c r="U39" i="15"/>
  <c r="U40" i="15"/>
  <c r="U41" i="15"/>
  <c r="U42" i="15"/>
  <c r="U43" i="15"/>
  <c r="U44" i="15"/>
  <c r="U45" i="15"/>
  <c r="U46" i="15"/>
  <c r="U47" i="15"/>
  <c r="U48" i="15"/>
  <c r="U49" i="15"/>
  <c r="U50" i="15"/>
  <c r="U51" i="15"/>
  <c r="U52" i="15"/>
  <c r="U4" i="15"/>
  <c r="B54" i="17"/>
  <c r="G47" i="2" l="1"/>
  <c r="H47" i="2" s="1"/>
  <c r="G39" i="2"/>
  <c r="H39" i="2" s="1"/>
  <c r="G31" i="2"/>
  <c r="H31" i="2" s="1"/>
  <c r="G23" i="2"/>
  <c r="H23" i="2" s="1"/>
  <c r="G15" i="2"/>
  <c r="H15" i="2" s="1"/>
  <c r="G7" i="2"/>
  <c r="H7" i="2" s="1"/>
  <c r="G49" i="2"/>
  <c r="H49" i="2" s="1"/>
  <c r="G41" i="2"/>
  <c r="H41" i="2" s="1"/>
  <c r="G33" i="2"/>
  <c r="H33" i="2" s="1"/>
  <c r="G25" i="2"/>
  <c r="H25" i="2" s="1"/>
  <c r="G17" i="2"/>
  <c r="H17" i="2" s="1"/>
  <c r="G9" i="2"/>
  <c r="H9" i="2" s="1"/>
  <c r="G44" i="2"/>
  <c r="H44" i="2" s="1"/>
  <c r="G36" i="2"/>
  <c r="H36" i="2" s="1"/>
  <c r="G28" i="2"/>
  <c r="H28" i="2" s="1"/>
  <c r="G20" i="2"/>
  <c r="H20" i="2" s="1"/>
  <c r="G12" i="2"/>
  <c r="H12" i="2" s="1"/>
  <c r="G4" i="2"/>
  <c r="H4" i="2" s="1"/>
  <c r="G50" i="2"/>
  <c r="H50" i="2" s="1"/>
  <c r="G42" i="2"/>
  <c r="H42" i="2" s="1"/>
  <c r="G34" i="2"/>
  <c r="H34" i="2" s="1"/>
  <c r="G26" i="2"/>
  <c r="H26" i="2" s="1"/>
  <c r="G18" i="2"/>
  <c r="H18" i="2" s="1"/>
  <c r="G10" i="2"/>
  <c r="H10" i="2" s="1"/>
  <c r="G48" i="2"/>
  <c r="H48" i="2" s="1"/>
  <c r="G40" i="2"/>
  <c r="H40" i="2" s="1"/>
  <c r="G32" i="2"/>
  <c r="H32" i="2" s="1"/>
  <c r="G24" i="2"/>
  <c r="H24" i="2" s="1"/>
  <c r="G16" i="2"/>
  <c r="H16" i="2" s="1"/>
  <c r="G8" i="2"/>
  <c r="H8" i="2" s="1"/>
  <c r="G46" i="2"/>
  <c r="H46" i="2" s="1"/>
  <c r="G38" i="2"/>
  <c r="H38" i="2" s="1"/>
  <c r="G30" i="2"/>
  <c r="H30" i="2" s="1"/>
  <c r="G22" i="2"/>
  <c r="H22" i="2" s="1"/>
  <c r="G14" i="2"/>
  <c r="H14" i="2" s="1"/>
  <c r="G6" i="2"/>
  <c r="H6" i="2" s="1"/>
  <c r="G51" i="2"/>
  <c r="H51" i="2" s="1"/>
  <c r="G43" i="2"/>
  <c r="H43" i="2" s="1"/>
  <c r="G35" i="2"/>
  <c r="H35" i="2" s="1"/>
  <c r="G27" i="2"/>
  <c r="H27" i="2" s="1"/>
  <c r="G19" i="2"/>
  <c r="H19" i="2" s="1"/>
  <c r="G11" i="2"/>
  <c r="H11" i="2" s="1"/>
  <c r="G45" i="2"/>
  <c r="H45" i="2" s="1"/>
  <c r="G37" i="2"/>
  <c r="H37" i="2" s="1"/>
  <c r="G29" i="2"/>
  <c r="H29" i="2" s="1"/>
  <c r="G21" i="2"/>
  <c r="H21" i="2" s="1"/>
  <c r="G13" i="2"/>
  <c r="H13" i="2" s="1"/>
  <c r="G5" i="2"/>
  <c r="H5" i="2" s="1"/>
  <c r="G3" i="2"/>
  <c r="H3" i="2" s="1"/>
  <c r="F52" i="2"/>
  <c r="AC5" i="15"/>
  <c r="AC6" i="15"/>
  <c r="AC7" i="15"/>
  <c r="AC8" i="15"/>
  <c r="AC9" i="15"/>
  <c r="AC10" i="15"/>
  <c r="AC11" i="15"/>
  <c r="AC12" i="15"/>
  <c r="AC13" i="15"/>
  <c r="AC14" i="15"/>
  <c r="AC15" i="15"/>
  <c r="AC16" i="15"/>
  <c r="AC17" i="15"/>
  <c r="AC18" i="15"/>
  <c r="AC19" i="15"/>
  <c r="AC20" i="15"/>
  <c r="AC21" i="15"/>
  <c r="AC22" i="15"/>
  <c r="AC23" i="15"/>
  <c r="AC24" i="15"/>
  <c r="AC25" i="15"/>
  <c r="AC26" i="15"/>
  <c r="AC27" i="15"/>
  <c r="AC28" i="15"/>
  <c r="AC29" i="15"/>
  <c r="AC30" i="15"/>
  <c r="AC31" i="15"/>
  <c r="AC32" i="15"/>
  <c r="AC33" i="15"/>
  <c r="AC34" i="15"/>
  <c r="AC35" i="15"/>
  <c r="AC36" i="15"/>
  <c r="AC37" i="15"/>
  <c r="AC38" i="15"/>
  <c r="AC39" i="15"/>
  <c r="AC40" i="15"/>
  <c r="AC41" i="15"/>
  <c r="AC42" i="15"/>
  <c r="AC43" i="15"/>
  <c r="AC44" i="15"/>
  <c r="AC45" i="15"/>
  <c r="AC46" i="15"/>
  <c r="AC47" i="15"/>
  <c r="AC48" i="15"/>
  <c r="AC49" i="15"/>
  <c r="AC50" i="15"/>
  <c r="AC51" i="15"/>
  <c r="AC52" i="15"/>
  <c r="AC4" i="15"/>
  <c r="AC53" i="15" s="1"/>
  <c r="AB5" i="15"/>
  <c r="AB6" i="15"/>
  <c r="AB7" i="15"/>
  <c r="AB8" i="15"/>
  <c r="AB9" i="15"/>
  <c r="AB10" i="15"/>
  <c r="AB11" i="15"/>
  <c r="AB12" i="15"/>
  <c r="AB13" i="15"/>
  <c r="AB14" i="15"/>
  <c r="AB15" i="15"/>
  <c r="AB16" i="15"/>
  <c r="AB17" i="15"/>
  <c r="AB18" i="15"/>
  <c r="AB19" i="15"/>
  <c r="AB20" i="15"/>
  <c r="AB21" i="15"/>
  <c r="AB22" i="15"/>
  <c r="AB23" i="15"/>
  <c r="AB24" i="15"/>
  <c r="AB25" i="15"/>
  <c r="AB26" i="15"/>
  <c r="AB27" i="15"/>
  <c r="AB28" i="15"/>
  <c r="AB29" i="15"/>
  <c r="AB30" i="15"/>
  <c r="AB31" i="15"/>
  <c r="AB32" i="15"/>
  <c r="AB33" i="15"/>
  <c r="AB34" i="15"/>
  <c r="AB35" i="15"/>
  <c r="AB36" i="15"/>
  <c r="AB37" i="15"/>
  <c r="AB38" i="15"/>
  <c r="AB39" i="15"/>
  <c r="AB40" i="15"/>
  <c r="AB41" i="15"/>
  <c r="AB42" i="15"/>
  <c r="AB43" i="15"/>
  <c r="AB44" i="15"/>
  <c r="AB45" i="15"/>
  <c r="AB46" i="15"/>
  <c r="AB47" i="15"/>
  <c r="AB48" i="15"/>
  <c r="AB49" i="15"/>
  <c r="AB50" i="15"/>
  <c r="AB51" i="15"/>
  <c r="AB52" i="15"/>
  <c r="AB4" i="15"/>
  <c r="AA5" i="15"/>
  <c r="AA6" i="15"/>
  <c r="AA7" i="15"/>
  <c r="AA8" i="15"/>
  <c r="AA9" i="15"/>
  <c r="AA10" i="15"/>
  <c r="AA11" i="15"/>
  <c r="AA53" i="15" s="1"/>
  <c r="AA12" i="15"/>
  <c r="AA13" i="15"/>
  <c r="AA14" i="15"/>
  <c r="AA15" i="15"/>
  <c r="AA16" i="15"/>
  <c r="AA17" i="15"/>
  <c r="AA18" i="15"/>
  <c r="AA19" i="15"/>
  <c r="AA20" i="15"/>
  <c r="AA21" i="15"/>
  <c r="AA22" i="15"/>
  <c r="AA23" i="15"/>
  <c r="AA24" i="15"/>
  <c r="AA25" i="15"/>
  <c r="AA26" i="15"/>
  <c r="AA27" i="15"/>
  <c r="AA28" i="15"/>
  <c r="AA29" i="15"/>
  <c r="AA30" i="15"/>
  <c r="AA31" i="15"/>
  <c r="AA32" i="15"/>
  <c r="AA33" i="15"/>
  <c r="AA34" i="15"/>
  <c r="AA35" i="15"/>
  <c r="AA36" i="15"/>
  <c r="AA37" i="15"/>
  <c r="AA38" i="15"/>
  <c r="AA39" i="15"/>
  <c r="AA40" i="15"/>
  <c r="AA41" i="15"/>
  <c r="AA42" i="15"/>
  <c r="AA43" i="15"/>
  <c r="AA44" i="15"/>
  <c r="AA45" i="15"/>
  <c r="AA46" i="15"/>
  <c r="AA47" i="15"/>
  <c r="AA48" i="15"/>
  <c r="AA49" i="15"/>
  <c r="AA50" i="15"/>
  <c r="AA51" i="15"/>
  <c r="AA52" i="15"/>
  <c r="AA4" i="15"/>
  <c r="Z5" i="15"/>
  <c r="Z6" i="15"/>
  <c r="Z7" i="15"/>
  <c r="Z8" i="15"/>
  <c r="Z9" i="15"/>
  <c r="Z10" i="15"/>
  <c r="Z11" i="15"/>
  <c r="Z12" i="15"/>
  <c r="Z13" i="15"/>
  <c r="Z14" i="15"/>
  <c r="Z15" i="15"/>
  <c r="Z16" i="15"/>
  <c r="Z17" i="15"/>
  <c r="Z18" i="15"/>
  <c r="Z19" i="15"/>
  <c r="Z20" i="15"/>
  <c r="Z21" i="15"/>
  <c r="Z22" i="15"/>
  <c r="Z23" i="15"/>
  <c r="Z24" i="15"/>
  <c r="Z25" i="15"/>
  <c r="Z26" i="15"/>
  <c r="Z27" i="15"/>
  <c r="Z28" i="15"/>
  <c r="Z29" i="15"/>
  <c r="Z30" i="15"/>
  <c r="Z31" i="15"/>
  <c r="Z32" i="15"/>
  <c r="Z33" i="15"/>
  <c r="Z34" i="15"/>
  <c r="Z35" i="15"/>
  <c r="Z36" i="15"/>
  <c r="Z37" i="15"/>
  <c r="Z38" i="15"/>
  <c r="Z39" i="15"/>
  <c r="Z40" i="15"/>
  <c r="Z41" i="15"/>
  <c r="Z42" i="15"/>
  <c r="Z43" i="15"/>
  <c r="Z44" i="15"/>
  <c r="Z45" i="15"/>
  <c r="Z46" i="15"/>
  <c r="Z47" i="15"/>
  <c r="Z48" i="15"/>
  <c r="Z49" i="15"/>
  <c r="Z50" i="15"/>
  <c r="Z51" i="15"/>
  <c r="Z52" i="15"/>
  <c r="Z4" i="15"/>
  <c r="Y53" i="15"/>
  <c r="Y5" i="15"/>
  <c r="Y6" i="15"/>
  <c r="Y7" i="15"/>
  <c r="Y8" i="15"/>
  <c r="Y9" i="15"/>
  <c r="Y10" i="15"/>
  <c r="Y11" i="15"/>
  <c r="Y12" i="15"/>
  <c r="Y13" i="15"/>
  <c r="Y14" i="15"/>
  <c r="Y15" i="15"/>
  <c r="Y16" i="15"/>
  <c r="Y17" i="15"/>
  <c r="Y18" i="15"/>
  <c r="Y19" i="15"/>
  <c r="Y20" i="15"/>
  <c r="Y21" i="15"/>
  <c r="Y22" i="15"/>
  <c r="Y23" i="15"/>
  <c r="Y24" i="15"/>
  <c r="Y25" i="15"/>
  <c r="Y26" i="15"/>
  <c r="Y27" i="15"/>
  <c r="Y28" i="15"/>
  <c r="Y29" i="15"/>
  <c r="Y30" i="15"/>
  <c r="Y31" i="15"/>
  <c r="Y32" i="15"/>
  <c r="Y33" i="15"/>
  <c r="Y34" i="15"/>
  <c r="Y35" i="15"/>
  <c r="Y36" i="15"/>
  <c r="Y37" i="15"/>
  <c r="Y38" i="15"/>
  <c r="Y39" i="15"/>
  <c r="Y40" i="15"/>
  <c r="Y41" i="15"/>
  <c r="Y42" i="15"/>
  <c r="Y43" i="15"/>
  <c r="Y44" i="15"/>
  <c r="Y45" i="15"/>
  <c r="Y46" i="15"/>
  <c r="Y47" i="15"/>
  <c r="Y48" i="15"/>
  <c r="Y49" i="15"/>
  <c r="Y50" i="15"/>
  <c r="Y51" i="15"/>
  <c r="Y52" i="15"/>
  <c r="Y4" i="15"/>
  <c r="X5" i="15"/>
  <c r="X6" i="15"/>
  <c r="X7" i="15"/>
  <c r="X8" i="15"/>
  <c r="X9" i="15"/>
  <c r="X10" i="15"/>
  <c r="X11" i="15"/>
  <c r="X12" i="15"/>
  <c r="X13" i="15"/>
  <c r="X14" i="15"/>
  <c r="X15" i="15"/>
  <c r="X16" i="15"/>
  <c r="X17" i="15"/>
  <c r="X18" i="15"/>
  <c r="X19" i="15"/>
  <c r="X20" i="15"/>
  <c r="X21" i="15"/>
  <c r="X22" i="15"/>
  <c r="X23" i="15"/>
  <c r="X24" i="15"/>
  <c r="X25" i="15"/>
  <c r="X26" i="15"/>
  <c r="X27" i="15"/>
  <c r="X28" i="15"/>
  <c r="X29" i="15"/>
  <c r="X30" i="15"/>
  <c r="X31" i="15"/>
  <c r="X32" i="15"/>
  <c r="X33" i="15"/>
  <c r="X34" i="15"/>
  <c r="X35" i="15"/>
  <c r="X36" i="15"/>
  <c r="X37" i="15"/>
  <c r="X38" i="15"/>
  <c r="X39" i="15"/>
  <c r="X40" i="15"/>
  <c r="X41" i="15"/>
  <c r="X42" i="15"/>
  <c r="X43" i="15"/>
  <c r="X44" i="15"/>
  <c r="X45" i="15"/>
  <c r="X46" i="15"/>
  <c r="X47" i="15"/>
  <c r="X48" i="15"/>
  <c r="X49" i="15"/>
  <c r="X50" i="15"/>
  <c r="X51" i="15"/>
  <c r="X52" i="15"/>
  <c r="X4" i="15"/>
  <c r="X53" i="15" s="1"/>
  <c r="V5" i="15"/>
  <c r="V6" i="15"/>
  <c r="V7" i="15"/>
  <c r="V8" i="15"/>
  <c r="V9" i="15"/>
  <c r="V10" i="15"/>
  <c r="V11" i="15"/>
  <c r="V12" i="15"/>
  <c r="V13" i="15"/>
  <c r="V14" i="15"/>
  <c r="V15" i="15"/>
  <c r="V16" i="15"/>
  <c r="V17" i="15"/>
  <c r="V18" i="15"/>
  <c r="V19" i="15"/>
  <c r="V20" i="15"/>
  <c r="V21" i="15"/>
  <c r="V22" i="15"/>
  <c r="V23" i="15"/>
  <c r="V24" i="15"/>
  <c r="V25" i="15"/>
  <c r="V26" i="15"/>
  <c r="V27" i="15"/>
  <c r="V28" i="15"/>
  <c r="V29" i="15"/>
  <c r="V30" i="15"/>
  <c r="V31" i="15"/>
  <c r="V32" i="15"/>
  <c r="V33" i="15"/>
  <c r="V34" i="15"/>
  <c r="V35" i="15"/>
  <c r="V36" i="15"/>
  <c r="V37" i="15"/>
  <c r="V38" i="15"/>
  <c r="V39" i="15"/>
  <c r="V40" i="15"/>
  <c r="V41" i="15"/>
  <c r="V42" i="15"/>
  <c r="V43" i="15"/>
  <c r="V44" i="15"/>
  <c r="V45" i="15"/>
  <c r="V46" i="15"/>
  <c r="V47" i="15"/>
  <c r="V48" i="15"/>
  <c r="V49" i="15"/>
  <c r="V50" i="15"/>
  <c r="V51" i="15"/>
  <c r="V52" i="15"/>
  <c r="V4" i="15"/>
  <c r="V53" i="15" s="1"/>
  <c r="S7" i="15"/>
  <c r="T7" i="15" s="1"/>
  <c r="S15" i="15"/>
  <c r="T15" i="15" s="1"/>
  <c r="S23" i="15"/>
  <c r="T23" i="15" s="1"/>
  <c r="S31" i="15"/>
  <c r="T31" i="15" s="1"/>
  <c r="S39" i="15"/>
  <c r="T39" i="15" s="1"/>
  <c r="S47" i="15"/>
  <c r="T47" i="15" s="1"/>
  <c r="R5" i="15"/>
  <c r="R6" i="15"/>
  <c r="R7" i="15"/>
  <c r="R8" i="15"/>
  <c r="R9" i="15"/>
  <c r="R10" i="15"/>
  <c r="R11" i="15"/>
  <c r="R12" i="15"/>
  <c r="R13" i="15"/>
  <c r="R14" i="15"/>
  <c r="R15" i="15"/>
  <c r="R16" i="15"/>
  <c r="R17" i="15"/>
  <c r="R18" i="15"/>
  <c r="R19" i="15"/>
  <c r="R20" i="15"/>
  <c r="R21" i="15"/>
  <c r="R22" i="15"/>
  <c r="R23" i="15"/>
  <c r="R24" i="15"/>
  <c r="R25" i="15"/>
  <c r="R26" i="15"/>
  <c r="R27" i="15"/>
  <c r="R28" i="15"/>
  <c r="R29" i="15"/>
  <c r="R30" i="15"/>
  <c r="R31" i="15"/>
  <c r="R32" i="15"/>
  <c r="R33" i="15"/>
  <c r="R34" i="15"/>
  <c r="R35" i="15"/>
  <c r="R36" i="15"/>
  <c r="R37" i="15"/>
  <c r="R38" i="15"/>
  <c r="R39" i="15"/>
  <c r="R40" i="15"/>
  <c r="R41" i="15"/>
  <c r="R42" i="15"/>
  <c r="R43" i="15"/>
  <c r="R44" i="15"/>
  <c r="R45" i="15"/>
  <c r="R46" i="15"/>
  <c r="R47" i="15"/>
  <c r="R48" i="15"/>
  <c r="R49" i="15"/>
  <c r="R50" i="15"/>
  <c r="R51" i="15"/>
  <c r="R52" i="15"/>
  <c r="R4" i="15"/>
  <c r="Q5" i="15"/>
  <c r="S5" i="15" s="1"/>
  <c r="T5" i="15" s="1"/>
  <c r="Q6" i="15"/>
  <c r="Q7" i="15"/>
  <c r="Q8" i="15"/>
  <c r="Q9" i="15"/>
  <c r="Q10" i="15"/>
  <c r="Q11" i="15"/>
  <c r="Q12" i="15"/>
  <c r="Q13" i="15"/>
  <c r="S13" i="15" s="1"/>
  <c r="T13" i="15" s="1"/>
  <c r="Q14" i="15"/>
  <c r="Q15" i="15"/>
  <c r="Q16" i="15"/>
  <c r="Q17" i="15"/>
  <c r="Q18" i="15"/>
  <c r="Q19" i="15"/>
  <c r="Q20" i="15"/>
  <c r="Q21" i="15"/>
  <c r="Q22" i="15"/>
  <c r="Q23" i="15"/>
  <c r="Q24" i="15"/>
  <c r="Q25" i="15"/>
  <c r="Q26" i="15"/>
  <c r="Q27" i="15"/>
  <c r="Q28" i="15"/>
  <c r="Q29" i="15"/>
  <c r="Q30" i="15"/>
  <c r="Q31" i="15"/>
  <c r="Q32" i="15"/>
  <c r="Q33" i="15"/>
  <c r="Q34" i="15"/>
  <c r="Q35" i="15"/>
  <c r="Q36" i="15"/>
  <c r="Q37" i="15"/>
  <c r="Q38" i="15"/>
  <c r="Q39" i="15"/>
  <c r="Q40" i="15"/>
  <c r="Q41" i="15"/>
  <c r="Q42" i="15"/>
  <c r="Q43" i="15"/>
  <c r="Q44" i="15"/>
  <c r="Q45" i="15"/>
  <c r="Q46" i="15"/>
  <c r="Q47" i="15"/>
  <c r="Q48" i="15"/>
  <c r="Q49" i="15"/>
  <c r="Q50" i="15"/>
  <c r="Q51" i="15"/>
  <c r="Q52" i="15"/>
  <c r="Q4" i="15"/>
  <c r="P5" i="15"/>
  <c r="P6" i="15"/>
  <c r="S6" i="15" s="1"/>
  <c r="T6" i="15" s="1"/>
  <c r="P7" i="15"/>
  <c r="P8" i="15"/>
  <c r="S8" i="15" s="1"/>
  <c r="T8" i="15" s="1"/>
  <c r="P9" i="15"/>
  <c r="S9" i="15" s="1"/>
  <c r="T9" i="15" s="1"/>
  <c r="P10" i="15"/>
  <c r="S10" i="15" s="1"/>
  <c r="T10" i="15" s="1"/>
  <c r="P11" i="15"/>
  <c r="S11" i="15" s="1"/>
  <c r="T11" i="15" s="1"/>
  <c r="P12" i="15"/>
  <c r="S12" i="15" s="1"/>
  <c r="T12" i="15" s="1"/>
  <c r="P13" i="15"/>
  <c r="P14" i="15"/>
  <c r="S14" i="15" s="1"/>
  <c r="T14" i="15" s="1"/>
  <c r="P15" i="15"/>
  <c r="P16" i="15"/>
  <c r="S16" i="15" s="1"/>
  <c r="T16" i="15" s="1"/>
  <c r="P17" i="15"/>
  <c r="S17" i="15" s="1"/>
  <c r="T17" i="15" s="1"/>
  <c r="P18" i="15"/>
  <c r="S18" i="15" s="1"/>
  <c r="T18" i="15" s="1"/>
  <c r="P19" i="15"/>
  <c r="S19" i="15" s="1"/>
  <c r="T19" i="15" s="1"/>
  <c r="P20" i="15"/>
  <c r="S20" i="15" s="1"/>
  <c r="T20" i="15" s="1"/>
  <c r="P21" i="15"/>
  <c r="S21" i="15" s="1"/>
  <c r="T21" i="15" s="1"/>
  <c r="P22" i="15"/>
  <c r="S22" i="15" s="1"/>
  <c r="T22" i="15" s="1"/>
  <c r="P23" i="15"/>
  <c r="P24" i="15"/>
  <c r="S24" i="15" s="1"/>
  <c r="T24" i="15" s="1"/>
  <c r="P25" i="15"/>
  <c r="S25" i="15" s="1"/>
  <c r="T25" i="15" s="1"/>
  <c r="P26" i="15"/>
  <c r="S26" i="15" s="1"/>
  <c r="T26" i="15" s="1"/>
  <c r="P27" i="15"/>
  <c r="S27" i="15" s="1"/>
  <c r="T27" i="15" s="1"/>
  <c r="P28" i="15"/>
  <c r="S28" i="15" s="1"/>
  <c r="T28" i="15" s="1"/>
  <c r="P29" i="15"/>
  <c r="S29" i="15" s="1"/>
  <c r="T29" i="15" s="1"/>
  <c r="P30" i="15"/>
  <c r="S30" i="15" s="1"/>
  <c r="T30" i="15" s="1"/>
  <c r="P31" i="15"/>
  <c r="P32" i="15"/>
  <c r="S32" i="15" s="1"/>
  <c r="T32" i="15" s="1"/>
  <c r="P33" i="15"/>
  <c r="S33" i="15" s="1"/>
  <c r="T33" i="15" s="1"/>
  <c r="P34" i="15"/>
  <c r="S34" i="15" s="1"/>
  <c r="T34" i="15" s="1"/>
  <c r="P35" i="15"/>
  <c r="S35" i="15" s="1"/>
  <c r="T35" i="15" s="1"/>
  <c r="P36" i="15"/>
  <c r="S36" i="15" s="1"/>
  <c r="T36" i="15" s="1"/>
  <c r="P37" i="15"/>
  <c r="S37" i="15" s="1"/>
  <c r="T37" i="15" s="1"/>
  <c r="P38" i="15"/>
  <c r="S38" i="15" s="1"/>
  <c r="T38" i="15" s="1"/>
  <c r="P39" i="15"/>
  <c r="P40" i="15"/>
  <c r="S40" i="15" s="1"/>
  <c r="T40" i="15" s="1"/>
  <c r="P41" i="15"/>
  <c r="S41" i="15" s="1"/>
  <c r="T41" i="15" s="1"/>
  <c r="P42" i="15"/>
  <c r="S42" i="15" s="1"/>
  <c r="T42" i="15" s="1"/>
  <c r="P43" i="15"/>
  <c r="S43" i="15" s="1"/>
  <c r="T43" i="15" s="1"/>
  <c r="P44" i="15"/>
  <c r="S44" i="15" s="1"/>
  <c r="T44" i="15" s="1"/>
  <c r="P45" i="15"/>
  <c r="S45" i="15" s="1"/>
  <c r="T45" i="15" s="1"/>
  <c r="P46" i="15"/>
  <c r="S46" i="15" s="1"/>
  <c r="T46" i="15" s="1"/>
  <c r="P47" i="15"/>
  <c r="P48" i="15"/>
  <c r="S48" i="15" s="1"/>
  <c r="T48" i="15" s="1"/>
  <c r="P49" i="15"/>
  <c r="S49" i="15" s="1"/>
  <c r="T49" i="15" s="1"/>
  <c r="P50" i="15"/>
  <c r="S50" i="15" s="1"/>
  <c r="T50" i="15" s="1"/>
  <c r="P51" i="15"/>
  <c r="S51" i="15" s="1"/>
  <c r="T51" i="15" s="1"/>
  <c r="P52" i="15"/>
  <c r="S52" i="15" s="1"/>
  <c r="T52" i="15" s="1"/>
  <c r="P4" i="15"/>
  <c r="S4" i="15" s="1"/>
  <c r="G52" i="2" l="1"/>
  <c r="AB53" i="15"/>
  <c r="Z53" i="15"/>
  <c r="W27" i="15"/>
  <c r="W46" i="15"/>
  <c r="W30" i="15"/>
  <c r="W6" i="15"/>
  <c r="W45" i="15"/>
  <c r="W37" i="15"/>
  <c r="W29" i="15"/>
  <c r="W21" i="15"/>
  <c r="W7" i="15"/>
  <c r="W43" i="15"/>
  <c r="W19" i="15"/>
  <c r="W38" i="15"/>
  <c r="W14" i="15"/>
  <c r="W15" i="15"/>
  <c r="T4" i="15"/>
  <c r="S53" i="15"/>
  <c r="W52" i="15"/>
  <c r="W44" i="15"/>
  <c r="W36" i="15"/>
  <c r="W28" i="15"/>
  <c r="W20" i="15"/>
  <c r="W12" i="15"/>
  <c r="W13" i="15"/>
  <c r="W5" i="15"/>
  <c r="W42" i="15"/>
  <c r="W51" i="15"/>
  <c r="W35" i="15"/>
  <c r="W50" i="15"/>
  <c r="W26" i="15"/>
  <c r="W10" i="15"/>
  <c r="W49" i="15"/>
  <c r="W33" i="15"/>
  <c r="W25" i="15"/>
  <c r="W9" i="15"/>
  <c r="W48" i="15"/>
  <c r="W40" i="15"/>
  <c r="W24" i="15"/>
  <c r="W8" i="15"/>
  <c r="W31" i="15"/>
  <c r="W11" i="15"/>
  <c r="W34" i="15"/>
  <c r="W18" i="15"/>
  <c r="W47" i="15"/>
  <c r="W41" i="15"/>
  <c r="W17" i="15"/>
  <c r="W39" i="15"/>
  <c r="W32" i="15"/>
  <c r="W16" i="15"/>
  <c r="W23" i="15"/>
  <c r="W22" i="15"/>
  <c r="W4" i="15" l="1"/>
  <c r="W53" i="15" s="1"/>
  <c r="U53" i="15"/>
  <c r="D52" i="2" l="1"/>
  <c r="E52" i="2"/>
  <c r="L8" i="18"/>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 i="6"/>
  <c r="M53" i="10" l="1"/>
  <c r="M45" i="10"/>
  <c r="M37" i="10"/>
  <c r="M29" i="10"/>
  <c r="M21" i="10"/>
  <c r="M13" i="10"/>
  <c r="M52" i="10"/>
  <c r="R48" i="6"/>
  <c r="R40" i="6"/>
  <c r="R32" i="6"/>
  <c r="R24" i="6"/>
  <c r="R16" i="6"/>
  <c r="R8" i="6"/>
  <c r="M47" i="10"/>
  <c r="M39" i="10"/>
  <c r="M31" i="10"/>
  <c r="M23" i="10"/>
  <c r="M15" i="10"/>
  <c r="M7" i="10"/>
  <c r="R30" i="6"/>
  <c r="R22" i="6"/>
  <c r="R14" i="6"/>
  <c r="R6" i="6"/>
  <c r="R38" i="6"/>
  <c r="M5" i="10"/>
  <c r="M46" i="10"/>
  <c r="M38" i="10"/>
  <c r="M30" i="10"/>
  <c r="M22" i="10"/>
  <c r="M14" i="10"/>
  <c r="M6" i="10"/>
  <c r="R5" i="6"/>
  <c r="R46" i="6"/>
  <c r="R47" i="6"/>
  <c r="R39" i="6"/>
  <c r="R31" i="6"/>
  <c r="R23" i="6"/>
  <c r="R15" i="6"/>
  <c r="R7" i="6"/>
  <c r="R13" i="6"/>
  <c r="R37" i="6"/>
  <c r="R21" i="6"/>
  <c r="R52" i="6"/>
  <c r="R44" i="6"/>
  <c r="R36" i="6"/>
  <c r="R28" i="6"/>
  <c r="R20" i="6"/>
  <c r="R12" i="6"/>
  <c r="R29" i="6"/>
  <c r="R51" i="6"/>
  <c r="R43" i="6"/>
  <c r="R35" i="6"/>
  <c r="R27" i="6"/>
  <c r="R19" i="6"/>
  <c r="R11" i="6"/>
  <c r="R53" i="6"/>
  <c r="R45" i="6"/>
  <c r="R49" i="6"/>
  <c r="R41" i="6"/>
  <c r="R33" i="6"/>
  <c r="R25" i="6"/>
  <c r="R17" i="6"/>
  <c r="R9" i="6"/>
  <c r="R50" i="6"/>
  <c r="R42" i="6"/>
  <c r="R34" i="6"/>
  <c r="R26" i="6"/>
  <c r="R18" i="6"/>
  <c r="R10" i="6"/>
  <c r="M48" i="10"/>
  <c r="M40" i="10"/>
  <c r="M32" i="10"/>
  <c r="M24" i="10"/>
  <c r="M16" i="10"/>
  <c r="M8" i="10"/>
  <c r="M44" i="10"/>
  <c r="M36" i="10"/>
  <c r="M28" i="10"/>
  <c r="M20" i="10"/>
  <c r="M12" i="10"/>
  <c r="M51" i="10"/>
  <c r="M43" i="10"/>
  <c r="M35" i="10"/>
  <c r="M27" i="10"/>
  <c r="M19" i="10"/>
  <c r="M11" i="10"/>
  <c r="M50" i="10"/>
  <c r="M42" i="10"/>
  <c r="M34" i="10"/>
  <c r="M26" i="10"/>
  <c r="M18" i="10"/>
  <c r="M10" i="10"/>
  <c r="M49" i="10"/>
  <c r="M41" i="10"/>
  <c r="M33" i="10"/>
  <c r="M25" i="10"/>
  <c r="M17" i="10"/>
  <c r="M9" i="10"/>
  <c r="R54" i="6" l="1"/>
  <c r="L17" i="18" s="1"/>
  <c r="M54" i="10"/>
  <c r="B52" i="17"/>
  <c r="D47" i="7" l="1"/>
  <c r="AB6" i="13" l="1"/>
  <c r="AB7" i="13"/>
  <c r="AB8" i="13"/>
  <c r="AB9" i="13"/>
  <c r="AB10" i="13"/>
  <c r="AB11" i="13"/>
  <c r="AB12" i="13"/>
  <c r="AB13" i="13"/>
  <c r="AB14" i="13"/>
  <c r="AB15" i="13"/>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B42" i="13"/>
  <c r="AB43" i="13"/>
  <c r="AB44" i="13"/>
  <c r="AB45" i="13"/>
  <c r="AB46" i="13"/>
  <c r="AB47" i="13"/>
  <c r="AB48" i="13"/>
  <c r="AB49" i="13"/>
  <c r="AB50" i="13"/>
  <c r="AB51" i="13"/>
  <c r="AB52" i="13"/>
  <c r="AB53" i="13"/>
  <c r="AB5" i="13"/>
  <c r="R53" i="15"/>
  <c r="P53" i="15"/>
  <c r="O54" i="14"/>
  <c r="O5" i="14"/>
  <c r="O6" i="14"/>
  <c r="O7" i="14"/>
  <c r="O8" i="14"/>
  <c r="O9" i="14"/>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4" i="14"/>
  <c r="D52" i="1" l="1"/>
  <c r="Q53" i="15"/>
  <c r="F52" i="1"/>
  <c r="K39" i="24" s="1"/>
  <c r="E52" i="1"/>
  <c r="K38" i="24" s="1"/>
  <c r="D50" i="7"/>
  <c r="D41" i="7"/>
  <c r="D33" i="7"/>
  <c r="D25" i="7"/>
  <c r="D17" i="7"/>
  <c r="D9" i="7"/>
  <c r="F54" i="10"/>
  <c r="D34" i="7"/>
  <c r="D49" i="7"/>
  <c r="D40" i="7"/>
  <c r="D32" i="7"/>
  <c r="D24" i="7"/>
  <c r="D16" i="7"/>
  <c r="D8" i="7"/>
  <c r="D51" i="7"/>
  <c r="D10" i="7"/>
  <c r="D48" i="7"/>
  <c r="D39" i="7"/>
  <c r="D31" i="7"/>
  <c r="D23" i="7"/>
  <c r="D15" i="7"/>
  <c r="D7" i="7"/>
  <c r="D46" i="7"/>
  <c r="D38" i="7"/>
  <c r="D30" i="7"/>
  <c r="D22" i="7"/>
  <c r="D14" i="7"/>
  <c r="D6" i="7"/>
  <c r="D26" i="7"/>
  <c r="L16" i="18"/>
  <c r="D5" i="7"/>
  <c r="D45" i="7"/>
  <c r="D37" i="7"/>
  <c r="D29" i="7"/>
  <c r="D21" i="7"/>
  <c r="D13" i="7"/>
  <c r="E54" i="10"/>
  <c r="D42" i="7"/>
  <c r="D18" i="7"/>
  <c r="D53" i="7"/>
  <c r="D44" i="7"/>
  <c r="D36" i="7"/>
  <c r="D28" i="7"/>
  <c r="D20" i="7"/>
  <c r="D12" i="7"/>
  <c r="D52" i="7"/>
  <c r="D43" i="7"/>
  <c r="D35" i="7"/>
  <c r="D27" i="7"/>
  <c r="D19" i="7"/>
  <c r="D11" i="7"/>
  <c r="G54" i="10"/>
  <c r="AB54" i="13"/>
  <c r="I52" i="1"/>
  <c r="G52" i="1"/>
  <c r="K40" i="24" s="1"/>
  <c r="J6" i="13"/>
  <c r="Y6" i="13" s="1"/>
  <c r="J7" i="13"/>
  <c r="Y7" i="13" s="1"/>
  <c r="J8" i="13"/>
  <c r="Y8" i="13" s="1"/>
  <c r="J9" i="13"/>
  <c r="Y9" i="13" s="1"/>
  <c r="J10" i="13"/>
  <c r="Y10" i="13" s="1"/>
  <c r="J11" i="13"/>
  <c r="Y11" i="13" s="1"/>
  <c r="J12" i="13"/>
  <c r="Y12" i="13" s="1"/>
  <c r="J13" i="13"/>
  <c r="Y13" i="13" s="1"/>
  <c r="J14" i="13"/>
  <c r="Y14" i="13" s="1"/>
  <c r="J15" i="13"/>
  <c r="Y15" i="13" s="1"/>
  <c r="J16" i="13"/>
  <c r="Y16" i="13" s="1"/>
  <c r="J17" i="13"/>
  <c r="Y17" i="13" s="1"/>
  <c r="J18" i="13"/>
  <c r="Y18" i="13" s="1"/>
  <c r="J19" i="13"/>
  <c r="Y19" i="13" s="1"/>
  <c r="J20" i="13"/>
  <c r="Y20" i="13" s="1"/>
  <c r="J21" i="13"/>
  <c r="Y21" i="13" s="1"/>
  <c r="J22" i="13"/>
  <c r="Y22" i="13" s="1"/>
  <c r="J23" i="13"/>
  <c r="Y23" i="13" s="1"/>
  <c r="J24" i="13"/>
  <c r="Y24" i="13" s="1"/>
  <c r="J25" i="13"/>
  <c r="Y25" i="13" s="1"/>
  <c r="J26" i="13"/>
  <c r="Y26" i="13" s="1"/>
  <c r="J27" i="13"/>
  <c r="Y27" i="13" s="1"/>
  <c r="J28" i="13"/>
  <c r="Y28" i="13" s="1"/>
  <c r="J29" i="13"/>
  <c r="Y29" i="13" s="1"/>
  <c r="J30" i="13"/>
  <c r="Y30" i="13" s="1"/>
  <c r="J31" i="13"/>
  <c r="Y31" i="13" s="1"/>
  <c r="J32" i="13"/>
  <c r="Y32" i="13" s="1"/>
  <c r="J33" i="13"/>
  <c r="Y33" i="13" s="1"/>
  <c r="J34" i="13"/>
  <c r="Y34" i="13" s="1"/>
  <c r="J35" i="13"/>
  <c r="Y35" i="13" s="1"/>
  <c r="J36" i="13"/>
  <c r="Y36" i="13" s="1"/>
  <c r="J37" i="13"/>
  <c r="Y37" i="13" s="1"/>
  <c r="J38" i="13"/>
  <c r="Y38" i="13" s="1"/>
  <c r="J39" i="13"/>
  <c r="Y39" i="13" s="1"/>
  <c r="J40" i="13"/>
  <c r="Y40" i="13" s="1"/>
  <c r="J41" i="13"/>
  <c r="Y41" i="13" s="1"/>
  <c r="J42" i="13"/>
  <c r="Y42" i="13" s="1"/>
  <c r="J43" i="13"/>
  <c r="Y43" i="13" s="1"/>
  <c r="J44" i="13"/>
  <c r="Y44" i="13" s="1"/>
  <c r="J45" i="13"/>
  <c r="Y45" i="13" s="1"/>
  <c r="J46" i="13"/>
  <c r="Y46" i="13" s="1"/>
  <c r="J47" i="13"/>
  <c r="Y47" i="13" s="1"/>
  <c r="J48" i="13"/>
  <c r="Y48" i="13" s="1"/>
  <c r="J49" i="13"/>
  <c r="Y49" i="13" s="1"/>
  <c r="J50" i="13"/>
  <c r="Y50" i="13" s="1"/>
  <c r="J51" i="13"/>
  <c r="Y51" i="13" s="1"/>
  <c r="J52" i="13"/>
  <c r="Y52" i="13" s="1"/>
  <c r="J53" i="13"/>
  <c r="Y53" i="13" s="1"/>
  <c r="K36" i="24" l="1"/>
  <c r="L10" i="24"/>
  <c r="K37" i="24"/>
  <c r="J5" i="13"/>
  <c r="M54" i="14"/>
  <c r="L54" i="14"/>
  <c r="K54" i="14"/>
  <c r="F54" i="14"/>
  <c r="E54" i="14"/>
  <c r="N52" i="14"/>
  <c r="I52" i="14"/>
  <c r="J52" i="14" s="1"/>
  <c r="N51" i="14"/>
  <c r="J51" i="14"/>
  <c r="I51" i="14"/>
  <c r="N50" i="14"/>
  <c r="J50" i="14"/>
  <c r="I50" i="14"/>
  <c r="N49" i="14"/>
  <c r="I49" i="14"/>
  <c r="J49" i="14" s="1"/>
  <c r="N48" i="14"/>
  <c r="J48" i="14" s="1"/>
  <c r="I48" i="14"/>
  <c r="N47" i="14"/>
  <c r="I47" i="14"/>
  <c r="J47" i="14" s="1"/>
  <c r="N46" i="14"/>
  <c r="I46" i="14"/>
  <c r="J46" i="14" s="1"/>
  <c r="N45" i="14"/>
  <c r="I45" i="14"/>
  <c r="J45" i="14" s="1"/>
  <c r="N44" i="14"/>
  <c r="I44" i="14"/>
  <c r="J44" i="14" s="1"/>
  <c r="N43" i="14"/>
  <c r="J43" i="14"/>
  <c r="I43" i="14"/>
  <c r="N42" i="14"/>
  <c r="J42" i="14"/>
  <c r="I42" i="14"/>
  <c r="N41" i="14"/>
  <c r="I41" i="14"/>
  <c r="J41" i="14" s="1"/>
  <c r="N40" i="14"/>
  <c r="J40" i="14" s="1"/>
  <c r="I40" i="14"/>
  <c r="N39" i="14"/>
  <c r="I39" i="14"/>
  <c r="J39" i="14" s="1"/>
  <c r="N38" i="14"/>
  <c r="I38" i="14"/>
  <c r="J38" i="14" s="1"/>
  <c r="N37" i="14"/>
  <c r="I37" i="14"/>
  <c r="J37" i="14" s="1"/>
  <c r="N36" i="14"/>
  <c r="I36" i="14"/>
  <c r="J36" i="14" s="1"/>
  <c r="N35" i="14"/>
  <c r="J35" i="14"/>
  <c r="I35" i="14"/>
  <c r="N34" i="14"/>
  <c r="J34" i="14"/>
  <c r="I34" i="14"/>
  <c r="N33" i="14"/>
  <c r="I33" i="14"/>
  <c r="J33" i="14" s="1"/>
  <c r="N32" i="14"/>
  <c r="J32" i="14" s="1"/>
  <c r="I32" i="14"/>
  <c r="N31" i="14"/>
  <c r="I31" i="14"/>
  <c r="J31" i="14" s="1"/>
  <c r="N30" i="14"/>
  <c r="I30" i="14"/>
  <c r="J30" i="14" s="1"/>
  <c r="N29" i="14"/>
  <c r="I29" i="14"/>
  <c r="J29" i="14" s="1"/>
  <c r="N28" i="14"/>
  <c r="I28" i="14"/>
  <c r="J28" i="14" s="1"/>
  <c r="N27" i="14"/>
  <c r="J27" i="14"/>
  <c r="I27" i="14"/>
  <c r="N26" i="14"/>
  <c r="J26" i="14"/>
  <c r="I26" i="14"/>
  <c r="N25" i="14"/>
  <c r="I25" i="14"/>
  <c r="J25" i="14" s="1"/>
  <c r="N24" i="14"/>
  <c r="J24" i="14" s="1"/>
  <c r="I24" i="14"/>
  <c r="N23" i="14"/>
  <c r="I23" i="14"/>
  <c r="J23" i="14" s="1"/>
  <c r="N22" i="14"/>
  <c r="I22" i="14"/>
  <c r="J22" i="14" s="1"/>
  <c r="N21" i="14"/>
  <c r="I21" i="14"/>
  <c r="J21" i="14" s="1"/>
  <c r="N20" i="14"/>
  <c r="I20" i="14"/>
  <c r="J20" i="14" s="1"/>
  <c r="N19" i="14"/>
  <c r="J19" i="14"/>
  <c r="I19" i="14"/>
  <c r="N18" i="14"/>
  <c r="J18" i="14"/>
  <c r="I18" i="14"/>
  <c r="N17" i="14"/>
  <c r="I17" i="14"/>
  <c r="J17" i="14" s="1"/>
  <c r="N16" i="14"/>
  <c r="J16" i="14" s="1"/>
  <c r="I16" i="14"/>
  <c r="N15" i="14"/>
  <c r="I15" i="14"/>
  <c r="J15" i="14" s="1"/>
  <c r="N14" i="14"/>
  <c r="I14" i="14"/>
  <c r="J14" i="14" s="1"/>
  <c r="N13" i="14"/>
  <c r="I13" i="14"/>
  <c r="J13" i="14" s="1"/>
  <c r="N12" i="14"/>
  <c r="I12" i="14"/>
  <c r="J12" i="14" s="1"/>
  <c r="N11" i="14"/>
  <c r="J11" i="14"/>
  <c r="I11" i="14"/>
  <c r="N10" i="14"/>
  <c r="J10" i="14"/>
  <c r="I10" i="14"/>
  <c r="N9" i="14"/>
  <c r="I9" i="14"/>
  <c r="J9" i="14" s="1"/>
  <c r="N8" i="14"/>
  <c r="J8" i="14" s="1"/>
  <c r="I8" i="14"/>
  <c r="N7" i="14"/>
  <c r="I7" i="14"/>
  <c r="J7" i="14" s="1"/>
  <c r="N6" i="14"/>
  <c r="I6" i="14"/>
  <c r="J6" i="14" s="1"/>
  <c r="N5" i="14"/>
  <c r="I5" i="14"/>
  <c r="J5" i="14" s="1"/>
  <c r="I4" i="14"/>
  <c r="H4" i="14"/>
  <c r="N4" i="14" s="1"/>
  <c r="N54" i="14" s="1"/>
  <c r="J54" i="13" l="1"/>
  <c r="Y5" i="13"/>
  <c r="Y54" i="13" s="1"/>
  <c r="J4" i="14"/>
  <c r="J54" i="14" s="1"/>
  <c r="I54" i="14"/>
  <c r="H54" i="14"/>
  <c r="H54" i="13" l="1"/>
  <c r="F17" i="23" s="1"/>
  <c r="I54" i="13"/>
  <c r="F15" i="23" s="1"/>
  <c r="K54" i="13"/>
  <c r="F16" i="23" s="1"/>
  <c r="L54" i="13"/>
  <c r="S6" i="11"/>
  <c r="S7" i="11"/>
  <c r="S8" i="11"/>
  <c r="S9" i="11"/>
  <c r="S10" i="11"/>
  <c r="S11" i="11"/>
  <c r="S12" i="11"/>
  <c r="S13" i="11"/>
  <c r="S14" i="11"/>
  <c r="S15" i="11"/>
  <c r="S16" i="11"/>
  <c r="S17" i="11"/>
  <c r="S18" i="11"/>
  <c r="S19" i="11"/>
  <c r="S20" i="11"/>
  <c r="S21" i="11"/>
  <c r="S22" i="11"/>
  <c r="S23" i="11"/>
  <c r="S24" i="11"/>
  <c r="S25" i="11"/>
  <c r="S26" i="11"/>
  <c r="S27" i="11"/>
  <c r="S28" i="11"/>
  <c r="S29" i="11"/>
  <c r="S30" i="11"/>
  <c r="S31" i="11"/>
  <c r="S32" i="11"/>
  <c r="S33" i="11"/>
  <c r="S34" i="11"/>
  <c r="S35" i="11"/>
  <c r="S36" i="11"/>
  <c r="S37" i="11"/>
  <c r="S38" i="11"/>
  <c r="S39" i="11"/>
  <c r="S40" i="11"/>
  <c r="S41" i="11"/>
  <c r="S42" i="11"/>
  <c r="S43" i="11"/>
  <c r="S44" i="11"/>
  <c r="S45" i="11"/>
  <c r="S46" i="11"/>
  <c r="S47" i="11"/>
  <c r="S48" i="11"/>
  <c r="S49" i="11"/>
  <c r="S50" i="11"/>
  <c r="S51" i="11"/>
  <c r="S52" i="11"/>
  <c r="S53" i="11"/>
  <c r="S5" i="11"/>
  <c r="Q54" i="11"/>
  <c r="R54" i="11"/>
  <c r="K73" i="18" s="1"/>
  <c r="J54" i="11"/>
  <c r="K54" i="11"/>
  <c r="K68" i="18" s="1"/>
  <c r="M54" i="11"/>
  <c r="K70" i="18" s="1"/>
  <c r="L6" i="11"/>
  <c r="N6" i="11" s="1"/>
  <c r="L7" i="11"/>
  <c r="N7" i="11" s="1"/>
  <c r="L8" i="11"/>
  <c r="N8" i="11" s="1"/>
  <c r="L9" i="11"/>
  <c r="N9" i="11" s="1"/>
  <c r="L10" i="11"/>
  <c r="N10" i="11" s="1"/>
  <c r="L11" i="11"/>
  <c r="N11" i="11" s="1"/>
  <c r="L12" i="11"/>
  <c r="N12" i="11" s="1"/>
  <c r="L13" i="11"/>
  <c r="N13" i="11" s="1"/>
  <c r="L14" i="11"/>
  <c r="N14" i="11" s="1"/>
  <c r="L15" i="11"/>
  <c r="N15" i="11" s="1"/>
  <c r="L16" i="11"/>
  <c r="N16" i="11" s="1"/>
  <c r="L17" i="11"/>
  <c r="N17" i="11" s="1"/>
  <c r="L18" i="11"/>
  <c r="N18" i="11" s="1"/>
  <c r="L19" i="11"/>
  <c r="N19" i="11" s="1"/>
  <c r="L20" i="11"/>
  <c r="N20" i="11" s="1"/>
  <c r="L21" i="11"/>
  <c r="N21" i="11" s="1"/>
  <c r="L22" i="11"/>
  <c r="N22" i="11" s="1"/>
  <c r="L23" i="11"/>
  <c r="N23" i="11" s="1"/>
  <c r="L24" i="11"/>
  <c r="N24" i="11" s="1"/>
  <c r="L25" i="11"/>
  <c r="N25" i="11" s="1"/>
  <c r="L26" i="11"/>
  <c r="N26" i="11" s="1"/>
  <c r="L27" i="11"/>
  <c r="N27" i="11" s="1"/>
  <c r="L28" i="11"/>
  <c r="N28" i="11" s="1"/>
  <c r="L29" i="11"/>
  <c r="N29" i="11" s="1"/>
  <c r="L30" i="11"/>
  <c r="N30" i="11" s="1"/>
  <c r="L31" i="11"/>
  <c r="N31" i="11" s="1"/>
  <c r="L32" i="11"/>
  <c r="N32" i="11" s="1"/>
  <c r="L33" i="11"/>
  <c r="N33" i="11" s="1"/>
  <c r="L34" i="11"/>
  <c r="N34" i="11" s="1"/>
  <c r="L35" i="11"/>
  <c r="N35" i="11" s="1"/>
  <c r="L36" i="11"/>
  <c r="N36" i="11" s="1"/>
  <c r="L37" i="11"/>
  <c r="N37" i="11" s="1"/>
  <c r="L38" i="11"/>
  <c r="N38" i="11" s="1"/>
  <c r="L39" i="11"/>
  <c r="N39" i="11" s="1"/>
  <c r="L40" i="11"/>
  <c r="N40" i="11" s="1"/>
  <c r="L41" i="11"/>
  <c r="N41" i="11" s="1"/>
  <c r="L42" i="11"/>
  <c r="N42" i="11" s="1"/>
  <c r="L43" i="11"/>
  <c r="N43" i="11" s="1"/>
  <c r="L44" i="11"/>
  <c r="N44" i="11" s="1"/>
  <c r="L45" i="11"/>
  <c r="N45" i="11" s="1"/>
  <c r="L46" i="11"/>
  <c r="N46" i="11" s="1"/>
  <c r="L47" i="11"/>
  <c r="N47" i="11" s="1"/>
  <c r="L48" i="11"/>
  <c r="N48" i="11" s="1"/>
  <c r="L49" i="11"/>
  <c r="N49" i="11" s="1"/>
  <c r="L50" i="11"/>
  <c r="N50" i="11" s="1"/>
  <c r="L51" i="11"/>
  <c r="N51" i="11" s="1"/>
  <c r="L52" i="11"/>
  <c r="N52" i="11" s="1"/>
  <c r="L53" i="11"/>
  <c r="N53" i="11" s="1"/>
  <c r="L5" i="11"/>
  <c r="N5" i="11" s="1"/>
  <c r="F14" i="23" l="1"/>
  <c r="S54" i="11"/>
  <c r="L54" i="11"/>
  <c r="K69" i="18" s="1"/>
  <c r="M54" i="13"/>
  <c r="N54" i="11"/>
  <c r="L1" i="10"/>
  <c r="F19" i="23" l="1"/>
  <c r="H52" i="10"/>
  <c r="H44" i="10"/>
  <c r="H36" i="10"/>
  <c r="H46" i="10"/>
  <c r="H38" i="10"/>
  <c r="H30" i="10"/>
  <c r="H22" i="10"/>
  <c r="H14" i="10"/>
  <c r="H6" i="10"/>
  <c r="H28" i="10"/>
  <c r="H20" i="10"/>
  <c r="H12" i="10"/>
  <c r="H48" i="10"/>
  <c r="H5" i="10"/>
  <c r="H47" i="10"/>
  <c r="H39" i="10"/>
  <c r="H31" i="10"/>
  <c r="H23" i="10"/>
  <c r="H15" i="10"/>
  <c r="H7" i="10"/>
  <c r="H49" i="10"/>
  <c r="H41" i="10"/>
  <c r="H33" i="10"/>
  <c r="H25" i="10"/>
  <c r="H17" i="10"/>
  <c r="H9" i="10"/>
  <c r="H50" i="10"/>
  <c r="H42" i="10"/>
  <c r="H34" i="10"/>
  <c r="H26" i="10"/>
  <c r="H18" i="10"/>
  <c r="H10" i="10"/>
  <c r="P50" i="8"/>
  <c r="P42" i="8"/>
  <c r="P34" i="8"/>
  <c r="P26" i="8"/>
  <c r="P18" i="8"/>
  <c r="P10" i="8"/>
  <c r="P49" i="8"/>
  <c r="P41" i="8"/>
  <c r="P33" i="8"/>
  <c r="P25" i="8"/>
  <c r="P17" i="8"/>
  <c r="P9" i="8"/>
  <c r="H40" i="10"/>
  <c r="H32" i="10"/>
  <c r="H24" i="10"/>
  <c r="H16" i="10"/>
  <c r="H8" i="10"/>
  <c r="P48" i="8"/>
  <c r="P40" i="8"/>
  <c r="P32" i="8"/>
  <c r="P24" i="8"/>
  <c r="P16" i="8"/>
  <c r="P8" i="8"/>
  <c r="E54" i="8"/>
  <c r="P46" i="8"/>
  <c r="P38" i="8"/>
  <c r="P30" i="8"/>
  <c r="P22" i="8"/>
  <c r="P14" i="8"/>
  <c r="P6" i="8"/>
  <c r="H53" i="10"/>
  <c r="H45" i="10"/>
  <c r="H37" i="10"/>
  <c r="H29" i="10"/>
  <c r="H21" i="10"/>
  <c r="H13" i="10"/>
  <c r="P53" i="8"/>
  <c r="P45" i="8"/>
  <c r="P37" i="8"/>
  <c r="P29" i="8"/>
  <c r="P21" i="8"/>
  <c r="P13" i="8"/>
  <c r="P52" i="8"/>
  <c r="P44" i="8"/>
  <c r="P36" i="8"/>
  <c r="P28" i="8"/>
  <c r="P20" i="8"/>
  <c r="P12" i="8"/>
  <c r="F54" i="8"/>
  <c r="G54" i="8"/>
  <c r="P47" i="8"/>
  <c r="P39" i="8"/>
  <c r="P31" i="8"/>
  <c r="P23" i="8"/>
  <c r="P15" i="8"/>
  <c r="P7" i="8"/>
  <c r="I54" i="8"/>
  <c r="H51" i="10"/>
  <c r="H43" i="10"/>
  <c r="H35" i="10"/>
  <c r="H27" i="10"/>
  <c r="H19" i="10"/>
  <c r="H11" i="10"/>
  <c r="P51" i="8"/>
  <c r="P43" i="8"/>
  <c r="P35" i="8"/>
  <c r="P27" i="8"/>
  <c r="P19" i="8"/>
  <c r="P11" i="8"/>
  <c r="H54" i="8"/>
  <c r="P5" i="8"/>
  <c r="K18" i="18"/>
  <c r="H54" i="10" l="1"/>
  <c r="F7" i="7"/>
  <c r="F48" i="7"/>
  <c r="F40" i="7"/>
  <c r="F32" i="7"/>
  <c r="F24" i="7"/>
  <c r="F16" i="7"/>
  <c r="F8" i="7"/>
  <c r="F52" i="7"/>
  <c r="F44" i="7"/>
  <c r="F36" i="7"/>
  <c r="F28" i="7"/>
  <c r="F20" i="7"/>
  <c r="F12" i="7"/>
  <c r="E54" i="6"/>
  <c r="P54" i="8"/>
  <c r="D54" i="7"/>
  <c r="F47" i="7"/>
  <c r="F39" i="7"/>
  <c r="F31" i="7"/>
  <c r="F23" i="7"/>
  <c r="F15" i="7"/>
  <c r="F53" i="7"/>
  <c r="F45" i="7"/>
  <c r="F37" i="7"/>
  <c r="F29" i="7"/>
  <c r="F21" i="7"/>
  <c r="F13" i="7"/>
  <c r="F51" i="7"/>
  <c r="F43" i="7"/>
  <c r="F35" i="7"/>
  <c r="F27" i="7"/>
  <c r="F19" i="7"/>
  <c r="F11" i="7"/>
  <c r="F50" i="7"/>
  <c r="F42" i="7"/>
  <c r="F34" i="7"/>
  <c r="F26" i="7"/>
  <c r="F18" i="7"/>
  <c r="F10" i="7"/>
  <c r="F49" i="7"/>
  <c r="F41" i="7"/>
  <c r="F33" i="7"/>
  <c r="F25" i="7"/>
  <c r="F17" i="7"/>
  <c r="F9" i="7"/>
  <c r="G54" i="6"/>
  <c r="H54" i="6"/>
  <c r="F46" i="7"/>
  <c r="F38" i="7"/>
  <c r="F30" i="7"/>
  <c r="F22" i="7"/>
  <c r="F14" i="7"/>
  <c r="F6" i="7"/>
  <c r="I54" i="6"/>
  <c r="F54" i="6"/>
  <c r="J54" i="6"/>
  <c r="O7" i="3"/>
  <c r="K21" i="18"/>
  <c r="K19" i="18"/>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7" i="3"/>
  <c r="G8" i="3"/>
  <c r="G9" i="3"/>
  <c r="G10" i="3"/>
  <c r="G11" i="3"/>
  <c r="G12" i="3"/>
  <c r="G13" i="3"/>
  <c r="H13" i="3" s="1"/>
  <c r="G14" i="3"/>
  <c r="G15" i="3"/>
  <c r="G16" i="3"/>
  <c r="G17" i="3"/>
  <c r="G18" i="3"/>
  <c r="G19" i="3"/>
  <c r="G20" i="3"/>
  <c r="G21" i="3"/>
  <c r="H21" i="3" s="1"/>
  <c r="G22" i="3"/>
  <c r="G23" i="3"/>
  <c r="G24" i="3"/>
  <c r="G25" i="3"/>
  <c r="G26" i="3"/>
  <c r="G27" i="3"/>
  <c r="G28" i="3"/>
  <c r="G29" i="3"/>
  <c r="H29" i="3" s="1"/>
  <c r="G30" i="3"/>
  <c r="G31" i="3"/>
  <c r="G32" i="3"/>
  <c r="G33" i="3"/>
  <c r="G34" i="3"/>
  <c r="G35" i="3"/>
  <c r="G36" i="3"/>
  <c r="G37" i="3"/>
  <c r="H37" i="3" s="1"/>
  <c r="G38" i="3"/>
  <c r="G39" i="3"/>
  <c r="G40" i="3"/>
  <c r="G41" i="3"/>
  <c r="G42" i="3"/>
  <c r="G43" i="3"/>
  <c r="G44" i="3"/>
  <c r="G45" i="3"/>
  <c r="H45" i="3" s="1"/>
  <c r="G46" i="3"/>
  <c r="G47" i="3"/>
  <c r="G48" i="3"/>
  <c r="G49" i="3"/>
  <c r="G50" i="3"/>
  <c r="G51" i="3"/>
  <c r="G52" i="3"/>
  <c r="G53" i="3"/>
  <c r="H53" i="3" s="1"/>
  <c r="G54" i="3"/>
  <c r="G55" i="3"/>
  <c r="G7" i="3"/>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K20" i="18" l="1"/>
  <c r="K22" i="18"/>
  <c r="K23" i="18"/>
  <c r="H51" i="3"/>
  <c r="H43" i="3"/>
  <c r="H35" i="3"/>
  <c r="H27" i="3"/>
  <c r="H19" i="3"/>
  <c r="H11" i="3"/>
  <c r="H50" i="3"/>
  <c r="H42" i="3"/>
  <c r="H34" i="3"/>
  <c r="H26" i="3"/>
  <c r="H18" i="3"/>
  <c r="H10" i="3"/>
  <c r="H52" i="3"/>
  <c r="H44" i="3"/>
  <c r="H36" i="3"/>
  <c r="H28" i="3"/>
  <c r="H20" i="3"/>
  <c r="H12" i="3"/>
  <c r="H49" i="3"/>
  <c r="H41" i="3"/>
  <c r="H33" i="3"/>
  <c r="H25" i="3"/>
  <c r="H17" i="3"/>
  <c r="H9" i="3"/>
  <c r="H48" i="3"/>
  <c r="H40" i="3"/>
  <c r="H32" i="3"/>
  <c r="H24" i="3"/>
  <c r="H16" i="3"/>
  <c r="H8" i="3"/>
  <c r="H55" i="3"/>
  <c r="H47" i="3"/>
  <c r="H39" i="3"/>
  <c r="H31" i="3"/>
  <c r="H23" i="3"/>
  <c r="H15" i="3"/>
  <c r="H54" i="3"/>
  <c r="H46" i="3"/>
  <c r="H38" i="3"/>
  <c r="H30" i="3"/>
  <c r="H22" i="3"/>
  <c r="H14" i="3"/>
  <c r="O52" i="3"/>
  <c r="P52" i="3" s="1"/>
  <c r="O44" i="3"/>
  <c r="P44" i="3" s="1"/>
  <c r="O36" i="3"/>
  <c r="P36" i="3" s="1"/>
  <c r="O28" i="3"/>
  <c r="P28" i="3" s="1"/>
  <c r="O20" i="3"/>
  <c r="P20" i="3" s="1"/>
  <c r="O12" i="3"/>
  <c r="P12" i="3" s="1"/>
  <c r="U51" i="3"/>
  <c r="Z51" i="3"/>
  <c r="AA51" i="3"/>
  <c r="AC51" i="3"/>
  <c r="AJ51" i="3" s="1"/>
  <c r="AK51" i="3" s="1"/>
  <c r="AL51" i="3" s="1"/>
  <c r="AP51" i="3"/>
  <c r="I51" i="3"/>
  <c r="J51" i="3" s="1"/>
  <c r="Q51" i="3"/>
  <c r="R51" i="3" s="1"/>
  <c r="S51" i="3"/>
  <c r="T51" i="3" s="1"/>
  <c r="AC41" i="3"/>
  <c r="AJ41" i="3" s="1"/>
  <c r="AK41" i="3" s="1"/>
  <c r="AL41" i="3" s="1"/>
  <c r="AA41" i="3"/>
  <c r="Z41" i="3"/>
  <c r="S41" i="3"/>
  <c r="T41" i="3" s="1"/>
  <c r="AP41" i="3"/>
  <c r="Q41" i="3"/>
  <c r="R41" i="3" s="1"/>
  <c r="I41" i="3"/>
  <c r="M41" i="3" s="1"/>
  <c r="U29" i="3"/>
  <c r="AA29" i="3"/>
  <c r="Z29" i="3"/>
  <c r="AC29" i="3"/>
  <c r="AJ29" i="3" s="1"/>
  <c r="AK29" i="3" s="1"/>
  <c r="AL29" i="3" s="1"/>
  <c r="S29" i="3"/>
  <c r="T29" i="3" s="1"/>
  <c r="I29" i="3"/>
  <c r="L29" i="3" s="1"/>
  <c r="Q29" i="3"/>
  <c r="R29" i="3" s="1"/>
  <c r="AP29" i="3"/>
  <c r="Z19" i="3"/>
  <c r="AA19" i="3"/>
  <c r="AC19" i="3"/>
  <c r="AJ19" i="3" s="1"/>
  <c r="AK19" i="3" s="1"/>
  <c r="AL19" i="3" s="1"/>
  <c r="I19" i="3"/>
  <c r="M19" i="3" s="1"/>
  <c r="AP19" i="3"/>
  <c r="Q19" i="3"/>
  <c r="R19" i="3" s="1"/>
  <c r="S19" i="3"/>
  <c r="T19" i="3" s="1"/>
  <c r="X9" i="3"/>
  <c r="Z9" i="3"/>
  <c r="AC9" i="3"/>
  <c r="AJ9" i="3" s="1"/>
  <c r="AK9" i="3" s="1"/>
  <c r="AL9" i="3" s="1"/>
  <c r="AA9" i="3"/>
  <c r="S9" i="3"/>
  <c r="T9" i="3" s="1"/>
  <c r="AP9" i="3"/>
  <c r="Q9" i="3"/>
  <c r="R9" i="3" s="1"/>
  <c r="I9" i="3"/>
  <c r="M9" i="3" s="1"/>
  <c r="AF31" i="3"/>
  <c r="AC31" i="3"/>
  <c r="AJ31" i="3" s="1"/>
  <c r="AK31" i="3" s="1"/>
  <c r="AL31" i="3" s="1"/>
  <c r="AA31" i="3"/>
  <c r="Z31" i="3"/>
  <c r="AP31" i="3"/>
  <c r="Q31" i="3"/>
  <c r="R31" i="3" s="1"/>
  <c r="S31" i="3"/>
  <c r="T31" i="3" s="1"/>
  <c r="I31" i="3"/>
  <c r="J31" i="3" s="1"/>
  <c r="O51" i="3"/>
  <c r="P51" i="3" s="1"/>
  <c r="O43" i="3"/>
  <c r="P43" i="3" s="1"/>
  <c r="O35" i="3"/>
  <c r="P35" i="3" s="1"/>
  <c r="O27" i="3"/>
  <c r="P27" i="3" s="1"/>
  <c r="O19" i="3"/>
  <c r="P19" i="3" s="1"/>
  <c r="O11" i="3"/>
  <c r="P11" i="3" s="1"/>
  <c r="AC50" i="3"/>
  <c r="AJ50" i="3" s="1"/>
  <c r="AK50" i="3" s="1"/>
  <c r="AL50" i="3" s="1"/>
  <c r="Z50" i="3"/>
  <c r="AA50" i="3"/>
  <c r="I50" i="3"/>
  <c r="L50" i="3" s="1"/>
  <c r="AP50" i="3"/>
  <c r="S50" i="3"/>
  <c r="T50" i="3" s="1"/>
  <c r="Q50" i="3"/>
  <c r="R50" i="3" s="1"/>
  <c r="AC40" i="3"/>
  <c r="AJ40" i="3" s="1"/>
  <c r="AK40" i="3" s="1"/>
  <c r="AL40" i="3" s="1"/>
  <c r="AA40" i="3"/>
  <c r="Z40" i="3"/>
  <c r="S40" i="3"/>
  <c r="T40" i="3" s="1"/>
  <c r="Q40" i="3"/>
  <c r="R40" i="3" s="1"/>
  <c r="AP40" i="3"/>
  <c r="I40" i="3"/>
  <c r="M40" i="3" s="1"/>
  <c r="U28" i="3"/>
  <c r="AA28" i="3"/>
  <c r="Z28" i="3"/>
  <c r="AC28" i="3"/>
  <c r="AJ28" i="3" s="1"/>
  <c r="AK28" i="3" s="1"/>
  <c r="AL28" i="3" s="1"/>
  <c r="Q28" i="3"/>
  <c r="R28" i="3" s="1"/>
  <c r="I28" i="3"/>
  <c r="L28" i="3" s="1"/>
  <c r="AP28" i="3"/>
  <c r="S28" i="3"/>
  <c r="T28" i="3" s="1"/>
  <c r="Z18" i="3"/>
  <c r="AA18" i="3"/>
  <c r="AC18" i="3"/>
  <c r="AJ18" i="3" s="1"/>
  <c r="AK18" i="3" s="1"/>
  <c r="AL18" i="3" s="1"/>
  <c r="I18" i="3"/>
  <c r="J18" i="3" s="1"/>
  <c r="AP18" i="3"/>
  <c r="S18" i="3"/>
  <c r="T18" i="3" s="1"/>
  <c r="Q18" i="3"/>
  <c r="R18" i="3" s="1"/>
  <c r="AC8" i="3"/>
  <c r="AJ8" i="3" s="1"/>
  <c r="AK8" i="3" s="1"/>
  <c r="AL8" i="3" s="1"/>
  <c r="AA8" i="3"/>
  <c r="Z8" i="3"/>
  <c r="S8" i="3"/>
  <c r="T8" i="3" s="1"/>
  <c r="AP8" i="3"/>
  <c r="Q8" i="3"/>
  <c r="R8" i="3" s="1"/>
  <c r="I8" i="3"/>
  <c r="J8" i="3" s="1"/>
  <c r="AC30" i="3"/>
  <c r="AJ30" i="3" s="1"/>
  <c r="AK30" i="3" s="1"/>
  <c r="AL30" i="3" s="1"/>
  <c r="Z30" i="3"/>
  <c r="AA30" i="3"/>
  <c r="S30" i="3"/>
  <c r="T30" i="3" s="1"/>
  <c r="Q30" i="3"/>
  <c r="R30" i="3" s="1"/>
  <c r="I30" i="3"/>
  <c r="M30" i="3" s="1"/>
  <c r="AP30" i="3"/>
  <c r="O50" i="3"/>
  <c r="P50" i="3" s="1"/>
  <c r="O18" i="3"/>
  <c r="P18" i="3" s="1"/>
  <c r="AA27" i="3"/>
  <c r="Z27" i="3"/>
  <c r="AC27" i="3"/>
  <c r="AJ27" i="3" s="1"/>
  <c r="AK27" i="3" s="1"/>
  <c r="AL27" i="3" s="1"/>
  <c r="I27" i="3"/>
  <c r="M27" i="3" s="1"/>
  <c r="AP27" i="3"/>
  <c r="S27" i="3"/>
  <c r="T27" i="3" s="1"/>
  <c r="Q27" i="3"/>
  <c r="R27" i="3" s="1"/>
  <c r="O33" i="3"/>
  <c r="P33" i="3" s="1"/>
  <c r="O17" i="3"/>
  <c r="P17" i="3" s="1"/>
  <c r="AC48" i="3"/>
  <c r="AJ48" i="3" s="1"/>
  <c r="AK48" i="3" s="1"/>
  <c r="AL48" i="3" s="1"/>
  <c r="AA48" i="3"/>
  <c r="Z48" i="3"/>
  <c r="Q48" i="3"/>
  <c r="R48" i="3" s="1"/>
  <c r="AP48" i="3"/>
  <c r="S48" i="3"/>
  <c r="T48" i="3" s="1"/>
  <c r="I48" i="3"/>
  <c r="M48" i="3" s="1"/>
  <c r="X26" i="3"/>
  <c r="Z26" i="3"/>
  <c r="AA26" i="3"/>
  <c r="AC26" i="3"/>
  <c r="AJ26" i="3" s="1"/>
  <c r="AK26" i="3" s="1"/>
  <c r="AL26" i="3" s="1"/>
  <c r="I26" i="3"/>
  <c r="J26" i="3" s="1"/>
  <c r="AP26" i="3"/>
  <c r="S26" i="3"/>
  <c r="T26" i="3" s="1"/>
  <c r="Q26" i="3"/>
  <c r="R26" i="3" s="1"/>
  <c r="AC16" i="3"/>
  <c r="AJ16" i="3" s="1"/>
  <c r="AK16" i="3" s="1"/>
  <c r="AL16" i="3" s="1"/>
  <c r="AA16" i="3"/>
  <c r="Z16" i="3"/>
  <c r="AP16" i="3"/>
  <c r="S16" i="3"/>
  <c r="T16" i="3" s="1"/>
  <c r="Q16" i="3"/>
  <c r="R16" i="3" s="1"/>
  <c r="I16" i="3"/>
  <c r="M16" i="3" s="1"/>
  <c r="V54" i="3"/>
  <c r="AC54" i="3"/>
  <c r="AJ54" i="3" s="1"/>
  <c r="AK54" i="3" s="1"/>
  <c r="AL54" i="3" s="1"/>
  <c r="AA54" i="3"/>
  <c r="Z54" i="3"/>
  <c r="S54" i="3"/>
  <c r="T54" i="3" s="1"/>
  <c r="Q54" i="3"/>
  <c r="R54" i="3" s="1"/>
  <c r="I54" i="3"/>
  <c r="J54" i="3" s="1"/>
  <c r="AP54" i="3"/>
  <c r="AA22" i="3"/>
  <c r="Z22" i="3"/>
  <c r="AC22" i="3"/>
  <c r="AJ22" i="3" s="1"/>
  <c r="AK22" i="3" s="1"/>
  <c r="AL22" i="3" s="1"/>
  <c r="I22" i="3"/>
  <c r="L22" i="3" s="1"/>
  <c r="S22" i="3"/>
  <c r="T22" i="3" s="1"/>
  <c r="Q22" i="3"/>
  <c r="R22" i="3" s="1"/>
  <c r="AP22" i="3"/>
  <c r="O34" i="3"/>
  <c r="P34" i="3" s="1"/>
  <c r="O10" i="3"/>
  <c r="P10" i="3" s="1"/>
  <c r="AC55" i="3"/>
  <c r="AJ55" i="3" s="1"/>
  <c r="AK55" i="3" s="1"/>
  <c r="AL55" i="3" s="1"/>
  <c r="AA55" i="3"/>
  <c r="Z55" i="3"/>
  <c r="AP55" i="3"/>
  <c r="Q55" i="3"/>
  <c r="R55" i="3" s="1"/>
  <c r="S55" i="3"/>
  <c r="T55" i="3" s="1"/>
  <c r="I55" i="3"/>
  <c r="J55" i="3" s="1"/>
  <c r="O49" i="3"/>
  <c r="P49" i="3" s="1"/>
  <c r="O32" i="3"/>
  <c r="P32" i="3" s="1"/>
  <c r="AA45" i="3"/>
  <c r="AC45" i="3"/>
  <c r="AJ45" i="3" s="1"/>
  <c r="AK45" i="3" s="1"/>
  <c r="AL45" i="3" s="1"/>
  <c r="Z45" i="3"/>
  <c r="S45" i="3"/>
  <c r="T45" i="3" s="1"/>
  <c r="I45" i="3"/>
  <c r="L45" i="3" s="1"/>
  <c r="Q45" i="3"/>
  <c r="R45" i="3" s="1"/>
  <c r="AP45" i="3"/>
  <c r="Z35" i="3"/>
  <c r="AC35" i="3"/>
  <c r="AJ35" i="3" s="1"/>
  <c r="AK35" i="3" s="1"/>
  <c r="AL35" i="3" s="1"/>
  <c r="AA35" i="3"/>
  <c r="I35" i="3"/>
  <c r="J35" i="3" s="1"/>
  <c r="Q35" i="3"/>
  <c r="R35" i="3" s="1"/>
  <c r="S35" i="3"/>
  <c r="T35" i="3" s="1"/>
  <c r="AP35" i="3"/>
  <c r="AV47" i="3"/>
  <c r="AC47" i="3"/>
  <c r="AJ47" i="3" s="1"/>
  <c r="AK47" i="3" s="1"/>
  <c r="AL47" i="3" s="1"/>
  <c r="AA47" i="3"/>
  <c r="Z47" i="3"/>
  <c r="AP47" i="3"/>
  <c r="S47" i="3"/>
  <c r="T47" i="3" s="1"/>
  <c r="Q47" i="3"/>
  <c r="R47" i="3" s="1"/>
  <c r="I47" i="3"/>
  <c r="J47" i="3" s="1"/>
  <c r="Z14" i="3"/>
  <c r="AA14" i="3"/>
  <c r="AC14" i="3"/>
  <c r="AJ14" i="3" s="1"/>
  <c r="AK14" i="3" s="1"/>
  <c r="AL14" i="3" s="1"/>
  <c r="S14" i="3"/>
  <c r="T14" i="3" s="1"/>
  <c r="I14" i="3"/>
  <c r="J14" i="3" s="1"/>
  <c r="Q14" i="3"/>
  <c r="R14" i="3" s="1"/>
  <c r="AP14" i="3"/>
  <c r="O42" i="3"/>
  <c r="P42" i="3" s="1"/>
  <c r="X49" i="3"/>
  <c r="Z49" i="3"/>
  <c r="AC49" i="3"/>
  <c r="AJ49" i="3" s="1"/>
  <c r="AK49" i="3" s="1"/>
  <c r="AL49" i="3" s="1"/>
  <c r="AA49" i="3"/>
  <c r="S49" i="3"/>
  <c r="T49" i="3" s="1"/>
  <c r="AP49" i="3"/>
  <c r="Q49" i="3"/>
  <c r="R49" i="3" s="1"/>
  <c r="I49" i="3"/>
  <c r="M49" i="3" s="1"/>
  <c r="AC17" i="3"/>
  <c r="AJ17" i="3" s="1"/>
  <c r="AK17" i="3" s="1"/>
  <c r="AL17" i="3" s="1"/>
  <c r="Z17" i="3"/>
  <c r="AA17" i="3"/>
  <c r="AP17" i="3"/>
  <c r="S17" i="3"/>
  <c r="T17" i="3" s="1"/>
  <c r="Q17" i="3"/>
  <c r="R17" i="3" s="1"/>
  <c r="I17" i="3"/>
  <c r="M17" i="3" s="1"/>
  <c r="O41" i="3"/>
  <c r="P41" i="3" s="1"/>
  <c r="O9" i="3"/>
  <c r="P9" i="3" s="1"/>
  <c r="O40" i="3"/>
  <c r="P40" i="3" s="1"/>
  <c r="O24" i="3"/>
  <c r="P24" i="3" s="1"/>
  <c r="O8" i="3"/>
  <c r="P8" i="3" s="1"/>
  <c r="AA13" i="3"/>
  <c r="Z13" i="3"/>
  <c r="AC13" i="3"/>
  <c r="AJ13" i="3" s="1"/>
  <c r="AK13" i="3" s="1"/>
  <c r="AL13" i="3" s="1"/>
  <c r="S13" i="3"/>
  <c r="T13" i="3" s="1"/>
  <c r="I13" i="3"/>
  <c r="J13" i="3" s="1"/>
  <c r="Q13" i="3"/>
  <c r="R13" i="3" s="1"/>
  <c r="AP13" i="3"/>
  <c r="O55" i="3"/>
  <c r="P55" i="3" s="1"/>
  <c r="O47" i="3"/>
  <c r="P47" i="3" s="1"/>
  <c r="O39" i="3"/>
  <c r="P39" i="3" s="1"/>
  <c r="O31" i="3"/>
  <c r="P31" i="3" s="1"/>
  <c r="O23" i="3"/>
  <c r="P23" i="3" s="1"/>
  <c r="O15" i="3"/>
  <c r="P15" i="3" s="1"/>
  <c r="AC7" i="3"/>
  <c r="AJ7" i="3" s="1"/>
  <c r="AA7" i="3"/>
  <c r="Z7" i="3"/>
  <c r="AP7" i="3"/>
  <c r="S7" i="3"/>
  <c r="I7" i="3"/>
  <c r="Q7" i="3"/>
  <c r="AA44" i="3"/>
  <c r="Z44" i="3"/>
  <c r="AC44" i="3"/>
  <c r="AJ44" i="3" s="1"/>
  <c r="AK44" i="3" s="1"/>
  <c r="AL44" i="3" s="1"/>
  <c r="Q44" i="3"/>
  <c r="R44" i="3" s="1"/>
  <c r="I44" i="3"/>
  <c r="L44" i="3" s="1"/>
  <c r="AP44" i="3"/>
  <c r="S44" i="3"/>
  <c r="T44" i="3" s="1"/>
  <c r="AC34" i="3"/>
  <c r="AJ34" i="3" s="1"/>
  <c r="AK34" i="3" s="1"/>
  <c r="AL34" i="3" s="1"/>
  <c r="AA34" i="3"/>
  <c r="Z34" i="3"/>
  <c r="I34" i="3"/>
  <c r="L34" i="3" s="1"/>
  <c r="AP34" i="3"/>
  <c r="S34" i="3"/>
  <c r="T34" i="3" s="1"/>
  <c r="Q34" i="3"/>
  <c r="R34" i="3" s="1"/>
  <c r="AV24" i="3"/>
  <c r="AC24" i="3"/>
  <c r="AJ24" i="3" s="1"/>
  <c r="AK24" i="3" s="1"/>
  <c r="AL24" i="3" s="1"/>
  <c r="AA24" i="3"/>
  <c r="Z24" i="3"/>
  <c r="AP24" i="3"/>
  <c r="S24" i="3"/>
  <c r="T24" i="3" s="1"/>
  <c r="I24" i="3"/>
  <c r="J24" i="3" s="1"/>
  <c r="Q24" i="3"/>
  <c r="R24" i="3" s="1"/>
  <c r="AA12" i="3"/>
  <c r="Z12" i="3"/>
  <c r="AC12" i="3"/>
  <c r="AJ12" i="3" s="1"/>
  <c r="AK12" i="3" s="1"/>
  <c r="AL12" i="3" s="1"/>
  <c r="Q12" i="3"/>
  <c r="R12" i="3" s="1"/>
  <c r="I12" i="3"/>
  <c r="L12" i="3" s="1"/>
  <c r="AP12" i="3"/>
  <c r="S12" i="3"/>
  <c r="T12" i="3" s="1"/>
  <c r="AC46" i="3"/>
  <c r="AJ46" i="3" s="1"/>
  <c r="AK46" i="3" s="1"/>
  <c r="AL46" i="3" s="1"/>
  <c r="Z46" i="3"/>
  <c r="AA46" i="3"/>
  <c r="I46" i="3"/>
  <c r="J46" i="3" s="1"/>
  <c r="S46" i="3"/>
  <c r="T46" i="3" s="1"/>
  <c r="Q46" i="3"/>
  <c r="R46" i="3" s="1"/>
  <c r="AP46" i="3"/>
  <c r="O26" i="3"/>
  <c r="P26" i="3" s="1"/>
  <c r="AA37" i="3"/>
  <c r="Z37" i="3"/>
  <c r="AC37" i="3"/>
  <c r="AJ37" i="3" s="1"/>
  <c r="AK37" i="3" s="1"/>
  <c r="AL37" i="3" s="1"/>
  <c r="S37" i="3"/>
  <c r="T37" i="3" s="1"/>
  <c r="Q37" i="3"/>
  <c r="R37" i="3" s="1"/>
  <c r="I37" i="3"/>
  <c r="J37" i="3" s="1"/>
  <c r="AP37" i="3"/>
  <c r="AC23" i="3"/>
  <c r="AJ23" i="3" s="1"/>
  <c r="AK23" i="3" s="1"/>
  <c r="AL23" i="3" s="1"/>
  <c r="AA23" i="3"/>
  <c r="Z23" i="3"/>
  <c r="AP23" i="3"/>
  <c r="Q23" i="3"/>
  <c r="R23" i="3" s="1"/>
  <c r="S23" i="3"/>
  <c r="T23" i="3" s="1"/>
  <c r="I23" i="3"/>
  <c r="J23" i="3" s="1"/>
  <c r="O25" i="3"/>
  <c r="P25" i="3" s="1"/>
  <c r="U36" i="3"/>
  <c r="AA36" i="3"/>
  <c r="Z36" i="3"/>
  <c r="AC36" i="3"/>
  <c r="AJ36" i="3" s="1"/>
  <c r="AK36" i="3" s="1"/>
  <c r="AL36" i="3" s="1"/>
  <c r="Q36" i="3"/>
  <c r="R36" i="3" s="1"/>
  <c r="I36" i="3"/>
  <c r="J36" i="3" s="1"/>
  <c r="AP36" i="3"/>
  <c r="S36" i="3"/>
  <c r="T36" i="3" s="1"/>
  <c r="O48" i="3"/>
  <c r="P48" i="3" s="1"/>
  <c r="O16" i="3"/>
  <c r="P16" i="3" s="1"/>
  <c r="AV25" i="3"/>
  <c r="AC25" i="3"/>
  <c r="AJ25" i="3" s="1"/>
  <c r="AK25" i="3" s="1"/>
  <c r="AL25" i="3" s="1"/>
  <c r="Z25" i="3"/>
  <c r="AA25" i="3"/>
  <c r="AP25" i="3"/>
  <c r="Q25" i="3"/>
  <c r="R25" i="3" s="1"/>
  <c r="I25" i="3"/>
  <c r="J25" i="3" s="1"/>
  <c r="S25" i="3"/>
  <c r="T25" i="3" s="1"/>
  <c r="O54" i="3"/>
  <c r="P54" i="3" s="1"/>
  <c r="O46" i="3"/>
  <c r="P46" i="3" s="1"/>
  <c r="O38" i="3"/>
  <c r="P38" i="3" s="1"/>
  <c r="O30" i="3"/>
  <c r="P30" i="3" s="1"/>
  <c r="O22" i="3"/>
  <c r="P22" i="3" s="1"/>
  <c r="O14" i="3"/>
  <c r="P14" i="3" s="1"/>
  <c r="U53" i="3"/>
  <c r="AC53" i="3"/>
  <c r="AJ53" i="3" s="1"/>
  <c r="AK53" i="3" s="1"/>
  <c r="AL53" i="3" s="1"/>
  <c r="AA53" i="3"/>
  <c r="Z53" i="3"/>
  <c r="S53" i="3"/>
  <c r="T53" i="3" s="1"/>
  <c r="Q53" i="3"/>
  <c r="R53" i="3" s="1"/>
  <c r="I53" i="3"/>
  <c r="L53" i="3" s="1"/>
  <c r="AP53" i="3"/>
  <c r="Z43" i="3"/>
  <c r="AA43" i="3"/>
  <c r="AC43" i="3"/>
  <c r="AJ43" i="3" s="1"/>
  <c r="AK43" i="3" s="1"/>
  <c r="AL43" i="3" s="1"/>
  <c r="AP43" i="3"/>
  <c r="I43" i="3"/>
  <c r="L43" i="3" s="1"/>
  <c r="S43" i="3"/>
  <c r="T43" i="3" s="1"/>
  <c r="Q43" i="3"/>
  <c r="R43" i="3" s="1"/>
  <c r="AV33" i="3"/>
  <c r="Z33" i="3"/>
  <c r="AC33" i="3"/>
  <c r="AJ33" i="3" s="1"/>
  <c r="AK33" i="3" s="1"/>
  <c r="AL33" i="3" s="1"/>
  <c r="AA33" i="3"/>
  <c r="I33" i="3"/>
  <c r="J33" i="3" s="1"/>
  <c r="S33" i="3"/>
  <c r="T33" i="3" s="1"/>
  <c r="AP33" i="3"/>
  <c r="Q33" i="3"/>
  <c r="R33" i="3" s="1"/>
  <c r="V21" i="3"/>
  <c r="AC21" i="3"/>
  <c r="AJ21" i="3" s="1"/>
  <c r="AK21" i="3" s="1"/>
  <c r="AL21" i="3" s="1"/>
  <c r="AA21" i="3"/>
  <c r="Z21" i="3"/>
  <c r="S21" i="3"/>
  <c r="T21" i="3" s="1"/>
  <c r="Q21" i="3"/>
  <c r="R21" i="3" s="1"/>
  <c r="I21" i="3"/>
  <c r="L21" i="3" s="1"/>
  <c r="AP21" i="3"/>
  <c r="X11" i="3"/>
  <c r="Z11" i="3"/>
  <c r="AA11" i="3"/>
  <c r="AC11" i="3"/>
  <c r="AJ11" i="3" s="1"/>
  <c r="AK11" i="3" s="1"/>
  <c r="AL11" i="3" s="1"/>
  <c r="AP11" i="3"/>
  <c r="I11" i="3"/>
  <c r="L11" i="3" s="1"/>
  <c r="S11" i="3"/>
  <c r="T11" i="3" s="1"/>
  <c r="Q11" i="3"/>
  <c r="R11" i="3" s="1"/>
  <c r="V39" i="3"/>
  <c r="AC39" i="3"/>
  <c r="AJ39" i="3" s="1"/>
  <c r="AK39" i="3" s="1"/>
  <c r="AL39" i="3" s="1"/>
  <c r="AA39" i="3"/>
  <c r="Z39" i="3"/>
  <c r="AP39" i="3"/>
  <c r="Q39" i="3"/>
  <c r="R39" i="3" s="1"/>
  <c r="S39" i="3"/>
  <c r="T39" i="3" s="1"/>
  <c r="I39" i="3"/>
  <c r="J39" i="3" s="1"/>
  <c r="O53" i="3"/>
  <c r="P53" i="3" s="1"/>
  <c r="O45" i="3"/>
  <c r="P45" i="3" s="1"/>
  <c r="O37" i="3"/>
  <c r="P37" i="3" s="1"/>
  <c r="O29" i="3"/>
  <c r="P29" i="3" s="1"/>
  <c r="O21" i="3"/>
  <c r="P21" i="3" s="1"/>
  <c r="O13" i="3"/>
  <c r="P13" i="3" s="1"/>
  <c r="U52" i="3"/>
  <c r="AA52" i="3"/>
  <c r="Z52" i="3"/>
  <c r="AC52" i="3"/>
  <c r="AJ52" i="3" s="1"/>
  <c r="AK52" i="3" s="1"/>
  <c r="AL52" i="3" s="1"/>
  <c r="Q52" i="3"/>
  <c r="R52" i="3" s="1"/>
  <c r="I52" i="3"/>
  <c r="J52" i="3" s="1"/>
  <c r="AP52" i="3"/>
  <c r="S52" i="3"/>
  <c r="T52" i="3" s="1"/>
  <c r="AA42" i="3"/>
  <c r="AC42" i="3"/>
  <c r="AJ42" i="3" s="1"/>
  <c r="AK42" i="3" s="1"/>
  <c r="AL42" i="3" s="1"/>
  <c r="Z42" i="3"/>
  <c r="I42" i="3"/>
  <c r="M42" i="3" s="1"/>
  <c r="AP42" i="3"/>
  <c r="S42" i="3"/>
  <c r="T42" i="3" s="1"/>
  <c r="Q42" i="3"/>
  <c r="R42" i="3" s="1"/>
  <c r="AV32" i="3"/>
  <c r="AC32" i="3"/>
  <c r="AJ32" i="3" s="1"/>
  <c r="AK32" i="3" s="1"/>
  <c r="AL32" i="3" s="1"/>
  <c r="AA32" i="3"/>
  <c r="Z32" i="3"/>
  <c r="AP32" i="3"/>
  <c r="S32" i="3"/>
  <c r="T32" i="3" s="1"/>
  <c r="Q32" i="3"/>
  <c r="R32" i="3" s="1"/>
  <c r="I32" i="3"/>
  <c r="J32" i="3" s="1"/>
  <c r="AA20" i="3"/>
  <c r="Z20" i="3"/>
  <c r="AC20" i="3"/>
  <c r="Q20" i="3"/>
  <c r="R20" i="3" s="1"/>
  <c r="I20" i="3"/>
  <c r="M20" i="3" s="1"/>
  <c r="AP20" i="3"/>
  <c r="S20" i="3"/>
  <c r="T20" i="3" s="1"/>
  <c r="X10" i="3"/>
  <c r="AC10" i="3"/>
  <c r="AJ10" i="3" s="1"/>
  <c r="AK10" i="3" s="1"/>
  <c r="AL10" i="3" s="1"/>
  <c r="Z10" i="3"/>
  <c r="AA10" i="3"/>
  <c r="I10" i="3"/>
  <c r="L10" i="3" s="1"/>
  <c r="AP10" i="3"/>
  <c r="S10" i="3"/>
  <c r="T10" i="3" s="1"/>
  <c r="Q10" i="3"/>
  <c r="R10" i="3" s="1"/>
  <c r="V38" i="3"/>
  <c r="AC38" i="3"/>
  <c r="AJ38" i="3" s="1"/>
  <c r="AK38" i="3" s="1"/>
  <c r="AL38" i="3" s="1"/>
  <c r="AA38" i="3"/>
  <c r="Z38" i="3"/>
  <c r="S38" i="3"/>
  <c r="T38" i="3" s="1"/>
  <c r="Q38" i="3"/>
  <c r="R38" i="3" s="1"/>
  <c r="I38" i="3"/>
  <c r="J38" i="3" s="1"/>
  <c r="AP38" i="3"/>
  <c r="F3" i="5"/>
  <c r="F52" i="5" s="1"/>
  <c r="H52" i="2"/>
  <c r="H52" i="1"/>
  <c r="AR31" i="3"/>
  <c r="AT31" i="3" s="1"/>
  <c r="AU31" i="3" s="1"/>
  <c r="AR23" i="3"/>
  <c r="AV52" i="3"/>
  <c r="AV44" i="3"/>
  <c r="AV20" i="3"/>
  <c r="AV12" i="3"/>
  <c r="AR39" i="3"/>
  <c r="AT39" i="3" s="1"/>
  <c r="AU39" i="3" s="1"/>
  <c r="AV54" i="3"/>
  <c r="AV46" i="3"/>
  <c r="AV38" i="3"/>
  <c r="AV30" i="3"/>
  <c r="AV22" i="3"/>
  <c r="AV14" i="3"/>
  <c r="AR49" i="3"/>
  <c r="AT49" i="3" s="1"/>
  <c r="AU49" i="3" s="1"/>
  <c r="AR41" i="3"/>
  <c r="AT41" i="3" s="1"/>
  <c r="AU41" i="3" s="1"/>
  <c r="AR33" i="3"/>
  <c r="AT33" i="3" s="1"/>
  <c r="AU33" i="3" s="1"/>
  <c r="AR25" i="3"/>
  <c r="AT25" i="3" s="1"/>
  <c r="AU25" i="3" s="1"/>
  <c r="AR17" i="3"/>
  <c r="AT17" i="3" s="1"/>
  <c r="AU17" i="3" s="1"/>
  <c r="AR9" i="3"/>
  <c r="AT9" i="3" s="1"/>
  <c r="AU9" i="3" s="1"/>
  <c r="AV53" i="3"/>
  <c r="AV45" i="3"/>
  <c r="AV37" i="3"/>
  <c r="AV29" i="3"/>
  <c r="AV21" i="3"/>
  <c r="AV13" i="3"/>
  <c r="AR7" i="3"/>
  <c r="AR48" i="3"/>
  <c r="AT48" i="3" s="1"/>
  <c r="AU48" i="3" s="1"/>
  <c r="AR40" i="3"/>
  <c r="AT40" i="3" s="1"/>
  <c r="AU40" i="3" s="1"/>
  <c r="AR32" i="3"/>
  <c r="AR24" i="3"/>
  <c r="AT24" i="3" s="1"/>
  <c r="AU24" i="3" s="1"/>
  <c r="AR16" i="3"/>
  <c r="AT16" i="3" s="1"/>
  <c r="AU16" i="3" s="1"/>
  <c r="AR8" i="3"/>
  <c r="AT8" i="3" s="1"/>
  <c r="AU8" i="3" s="1"/>
  <c r="AV51" i="3"/>
  <c r="AV43" i="3"/>
  <c r="AV35" i="3"/>
  <c r="AV27" i="3"/>
  <c r="AV19" i="3"/>
  <c r="AV11" i="3"/>
  <c r="AR54" i="3"/>
  <c r="AT54" i="3" s="1"/>
  <c r="AR46" i="3"/>
  <c r="AT46" i="3" s="1"/>
  <c r="AR38" i="3"/>
  <c r="AT38" i="3" s="1"/>
  <c r="AR30" i="3"/>
  <c r="AT30" i="3" s="1"/>
  <c r="AU30" i="3" s="1"/>
  <c r="AR22" i="3"/>
  <c r="AT22" i="3" s="1"/>
  <c r="AU22" i="3" s="1"/>
  <c r="AR14" i="3"/>
  <c r="AT14" i="3" s="1"/>
  <c r="AV50" i="3"/>
  <c r="AV42" i="3"/>
  <c r="AV34" i="3"/>
  <c r="AV26" i="3"/>
  <c r="AV18" i="3"/>
  <c r="AV10" i="3"/>
  <c r="AR53" i="3"/>
  <c r="AT53" i="3" s="1"/>
  <c r="AR45" i="3"/>
  <c r="AT45" i="3" s="1"/>
  <c r="AU45" i="3" s="1"/>
  <c r="AR37" i="3"/>
  <c r="AT37" i="3" s="1"/>
  <c r="AU37" i="3" s="1"/>
  <c r="AR29" i="3"/>
  <c r="AT29" i="3" s="1"/>
  <c r="AU29" i="3" s="1"/>
  <c r="AR21" i="3"/>
  <c r="AU21" i="3" s="1"/>
  <c r="AR13" i="3"/>
  <c r="AT13" i="3" s="1"/>
  <c r="AR47" i="3"/>
  <c r="AT47" i="3" s="1"/>
  <c r="AU47" i="3" s="1"/>
  <c r="AV49" i="3"/>
  <c r="AV41" i="3"/>
  <c r="AV17" i="3"/>
  <c r="AV9" i="3"/>
  <c r="AR52" i="3"/>
  <c r="AR44" i="3"/>
  <c r="AT44" i="3" s="1"/>
  <c r="AU44" i="3" s="1"/>
  <c r="AR36" i="3"/>
  <c r="AT36" i="3" s="1"/>
  <c r="AU36" i="3" s="1"/>
  <c r="AR28" i="3"/>
  <c r="AT28" i="3" s="1"/>
  <c r="AU28" i="3" s="1"/>
  <c r="AR20" i="3"/>
  <c r="AT20" i="3" s="1"/>
  <c r="AU20" i="3" s="1"/>
  <c r="AR12" i="3"/>
  <c r="AV36" i="3"/>
  <c r="AV28" i="3"/>
  <c r="AR55" i="3"/>
  <c r="AV7" i="3"/>
  <c r="AV48" i="3"/>
  <c r="AV40" i="3"/>
  <c r="AV16" i="3"/>
  <c r="AV8" i="3"/>
  <c r="AR51" i="3"/>
  <c r="AR43" i="3"/>
  <c r="AT43" i="3" s="1"/>
  <c r="AU43" i="3" s="1"/>
  <c r="AR35" i="3"/>
  <c r="AT35" i="3" s="1"/>
  <c r="AU35" i="3" s="1"/>
  <c r="AR27" i="3"/>
  <c r="AT27" i="3" s="1"/>
  <c r="AU27" i="3" s="1"/>
  <c r="AR19" i="3"/>
  <c r="AT19" i="3" s="1"/>
  <c r="AU19" i="3" s="1"/>
  <c r="AR11" i="3"/>
  <c r="AT11" i="3" s="1"/>
  <c r="AU11" i="3" s="1"/>
  <c r="AV55" i="3"/>
  <c r="AV39" i="3"/>
  <c r="AV31" i="3"/>
  <c r="AV23" i="3"/>
  <c r="AR50" i="3"/>
  <c r="AT50" i="3" s="1"/>
  <c r="AU50" i="3" s="1"/>
  <c r="AR42" i="3"/>
  <c r="AT42" i="3" s="1"/>
  <c r="AU42" i="3" s="1"/>
  <c r="AR34" i="3"/>
  <c r="AT34" i="3" s="1"/>
  <c r="AU34" i="3" s="1"/>
  <c r="AR26" i="3"/>
  <c r="AT26" i="3" s="1"/>
  <c r="AU26" i="3" s="1"/>
  <c r="AR18" i="3"/>
  <c r="AT18" i="3" s="1"/>
  <c r="AU18" i="3" s="1"/>
  <c r="AR10" i="3"/>
  <c r="E56" i="3"/>
  <c r="AM45" i="3"/>
  <c r="AH45" i="3"/>
  <c r="AF45" i="3"/>
  <c r="X45" i="3"/>
  <c r="W45" i="3"/>
  <c r="AH35" i="3"/>
  <c r="AM35" i="3"/>
  <c r="W35" i="3"/>
  <c r="V35" i="3"/>
  <c r="AF25" i="3"/>
  <c r="AM25" i="3"/>
  <c r="AH25" i="3"/>
  <c r="W25" i="3"/>
  <c r="V25" i="3"/>
  <c r="U25" i="3"/>
  <c r="AM13" i="3"/>
  <c r="AH13" i="3"/>
  <c r="AF13" i="3"/>
  <c r="X13" i="3"/>
  <c r="W13" i="3"/>
  <c r="AM47" i="3"/>
  <c r="AH47" i="3"/>
  <c r="AF47" i="3"/>
  <c r="U47" i="3"/>
  <c r="X47" i="3"/>
  <c r="U13" i="3"/>
  <c r="V45" i="3"/>
  <c r="V22" i="3"/>
  <c r="W48" i="3"/>
  <c r="W30" i="3"/>
  <c r="X35" i="3"/>
  <c r="X17" i="3"/>
  <c r="AF35" i="3"/>
  <c r="AF18" i="3"/>
  <c r="AM18" i="3"/>
  <c r="AH18" i="3"/>
  <c r="W18" i="3"/>
  <c r="V18" i="3"/>
  <c r="U18" i="3"/>
  <c r="AH27" i="3"/>
  <c r="AM27" i="3"/>
  <c r="W27" i="3"/>
  <c r="V27" i="3"/>
  <c r="AF27" i="3"/>
  <c r="AF7" i="3"/>
  <c r="AE7" i="3" s="1"/>
  <c r="AM7" i="3"/>
  <c r="AH7" i="3"/>
  <c r="V7" i="3"/>
  <c r="U7" i="3"/>
  <c r="X7" i="3"/>
  <c r="AH44" i="3"/>
  <c r="AF44" i="3"/>
  <c r="AM44" i="3"/>
  <c r="X44" i="3"/>
  <c r="W44" i="3"/>
  <c r="V44" i="3"/>
  <c r="AF34" i="3"/>
  <c r="AM34" i="3"/>
  <c r="AH34" i="3"/>
  <c r="W34" i="3"/>
  <c r="V34" i="3"/>
  <c r="U34" i="3"/>
  <c r="AF24" i="3"/>
  <c r="AM24" i="3"/>
  <c r="AH24" i="3"/>
  <c r="V24" i="3"/>
  <c r="U24" i="3"/>
  <c r="X24" i="3"/>
  <c r="AH12" i="3"/>
  <c r="AF12" i="3"/>
  <c r="AM12" i="3"/>
  <c r="X12" i="3"/>
  <c r="W12" i="3"/>
  <c r="V12" i="3"/>
  <c r="AM46" i="3"/>
  <c r="AH46" i="3"/>
  <c r="AF46" i="3"/>
  <c r="U46" i="3"/>
  <c r="X46" i="3"/>
  <c r="AM14" i="3"/>
  <c r="AH14" i="3"/>
  <c r="AF14" i="3"/>
  <c r="U14" i="3"/>
  <c r="X14" i="3"/>
  <c r="U35" i="3"/>
  <c r="U12" i="3"/>
  <c r="W47" i="3"/>
  <c r="W24" i="3"/>
  <c r="X34" i="3"/>
  <c r="AF50" i="3"/>
  <c r="AM50" i="3"/>
  <c r="AH50" i="3"/>
  <c r="AI50" i="3" s="1"/>
  <c r="W50" i="3"/>
  <c r="V50" i="3"/>
  <c r="U50" i="3"/>
  <c r="AM53" i="3"/>
  <c r="AH53" i="3"/>
  <c r="AI53" i="3" s="1"/>
  <c r="AF53" i="3"/>
  <c r="X53" i="3"/>
  <c r="W53" i="3"/>
  <c r="AH43" i="3"/>
  <c r="AM43" i="3"/>
  <c r="AF43" i="3"/>
  <c r="W43" i="3"/>
  <c r="V43" i="3"/>
  <c r="AF33" i="3"/>
  <c r="AM33" i="3"/>
  <c r="AH33" i="3"/>
  <c r="W33" i="3"/>
  <c r="V33" i="3"/>
  <c r="U33" i="3"/>
  <c r="AM21" i="3"/>
  <c r="AH21" i="3"/>
  <c r="AF21" i="3"/>
  <c r="X21" i="3"/>
  <c r="W21" i="3"/>
  <c r="AH11" i="3"/>
  <c r="AM11" i="3"/>
  <c r="AF11" i="3"/>
  <c r="W11" i="3"/>
  <c r="V11" i="3"/>
  <c r="AM39" i="3"/>
  <c r="AH39" i="3"/>
  <c r="U39" i="3"/>
  <c r="X39" i="3"/>
  <c r="U11" i="3"/>
  <c r="W46" i="3"/>
  <c r="W23" i="3"/>
  <c r="X51" i="3"/>
  <c r="X33" i="3"/>
  <c r="AF40" i="3"/>
  <c r="AM40" i="3"/>
  <c r="AH40" i="3"/>
  <c r="V40" i="3"/>
  <c r="U40" i="3"/>
  <c r="X40" i="3"/>
  <c r="AM37" i="3"/>
  <c r="AH37" i="3"/>
  <c r="AF37" i="3"/>
  <c r="X37" i="3"/>
  <c r="W37" i="3"/>
  <c r="AH52" i="3"/>
  <c r="AI52" i="3" s="1"/>
  <c r="AF52" i="3"/>
  <c r="AM52" i="3"/>
  <c r="X52" i="3"/>
  <c r="W52" i="3"/>
  <c r="V52" i="3"/>
  <c r="AF42" i="3"/>
  <c r="AM42" i="3"/>
  <c r="AH42" i="3"/>
  <c r="W42" i="3"/>
  <c r="V42" i="3"/>
  <c r="U42" i="3"/>
  <c r="AF32" i="3"/>
  <c r="AM32" i="3"/>
  <c r="AH32" i="3"/>
  <c r="V32" i="3"/>
  <c r="U32" i="3"/>
  <c r="X32" i="3"/>
  <c r="AH20" i="3"/>
  <c r="AF20" i="3"/>
  <c r="AM20" i="3"/>
  <c r="X20" i="3"/>
  <c r="W20" i="3"/>
  <c r="V20" i="3"/>
  <c r="AF10" i="3"/>
  <c r="AM10" i="3"/>
  <c r="AH10" i="3"/>
  <c r="W10" i="3"/>
  <c r="V10" i="3"/>
  <c r="U10" i="3"/>
  <c r="AM38" i="3"/>
  <c r="AH38" i="3"/>
  <c r="AF38" i="3"/>
  <c r="U38" i="3"/>
  <c r="X38" i="3"/>
  <c r="V55" i="3"/>
  <c r="V37" i="3"/>
  <c r="V14" i="3"/>
  <c r="W40" i="3"/>
  <c r="W22" i="3"/>
  <c r="X50" i="3"/>
  <c r="X27" i="3"/>
  <c r="AF8" i="3"/>
  <c r="AM8" i="3"/>
  <c r="AH8" i="3"/>
  <c r="V8" i="3"/>
  <c r="U8" i="3"/>
  <c r="X8" i="3"/>
  <c r="AF17" i="3"/>
  <c r="AM17" i="3"/>
  <c r="AH17" i="3"/>
  <c r="W17" i="3"/>
  <c r="V17" i="3"/>
  <c r="U17" i="3"/>
  <c r="AH51" i="3"/>
  <c r="AI51" i="3" s="1"/>
  <c r="AM51" i="3"/>
  <c r="AF51" i="3"/>
  <c r="W51" i="3"/>
  <c r="V51" i="3"/>
  <c r="AF41" i="3"/>
  <c r="AM41" i="3"/>
  <c r="AH41" i="3"/>
  <c r="W41" i="3"/>
  <c r="V41" i="3"/>
  <c r="U41" i="3"/>
  <c r="AM29" i="3"/>
  <c r="AH29" i="3"/>
  <c r="AF29" i="3"/>
  <c r="X29" i="3"/>
  <c r="W29" i="3"/>
  <c r="AH19" i="3"/>
  <c r="AM19" i="3"/>
  <c r="AF19" i="3"/>
  <c r="W19" i="3"/>
  <c r="V19" i="3"/>
  <c r="AF9" i="3"/>
  <c r="AM9" i="3"/>
  <c r="AH9" i="3"/>
  <c r="W9" i="3"/>
  <c r="V9" i="3"/>
  <c r="U9" i="3"/>
  <c r="AM31" i="3"/>
  <c r="AH31" i="3"/>
  <c r="U31" i="3"/>
  <c r="X31" i="3"/>
  <c r="U45" i="3"/>
  <c r="U27" i="3"/>
  <c r="V31" i="3"/>
  <c r="V13" i="3"/>
  <c r="W39" i="3"/>
  <c r="W16" i="3"/>
  <c r="AM30" i="3"/>
  <c r="AH30" i="3"/>
  <c r="AF30" i="3"/>
  <c r="U30" i="3"/>
  <c r="X30" i="3"/>
  <c r="U44" i="3"/>
  <c r="U21" i="3"/>
  <c r="V53" i="3"/>
  <c r="V30" i="3"/>
  <c r="W7" i="3"/>
  <c r="W38" i="3"/>
  <c r="X43" i="3"/>
  <c r="X25" i="3"/>
  <c r="AM23" i="3"/>
  <c r="AH23" i="3"/>
  <c r="U23" i="3"/>
  <c r="AF23" i="3"/>
  <c r="X23" i="3"/>
  <c r="U43" i="3"/>
  <c r="U20" i="3"/>
  <c r="V47" i="3"/>
  <c r="V29" i="3"/>
  <c r="W55" i="3"/>
  <c r="W32" i="3"/>
  <c r="W14" i="3"/>
  <c r="X42" i="3"/>
  <c r="X19" i="3"/>
  <c r="AH28" i="3"/>
  <c r="AF28" i="3"/>
  <c r="AM28" i="3"/>
  <c r="X28" i="3"/>
  <c r="W28" i="3"/>
  <c r="V28" i="3"/>
  <c r="AF49" i="3"/>
  <c r="AM49" i="3"/>
  <c r="AH49" i="3"/>
  <c r="W49" i="3"/>
  <c r="V49" i="3"/>
  <c r="U49" i="3"/>
  <c r="AM55" i="3"/>
  <c r="AH55" i="3"/>
  <c r="AI55" i="3" s="1"/>
  <c r="U55" i="3"/>
  <c r="AF55" i="3"/>
  <c r="X55" i="3"/>
  <c r="AF48" i="3"/>
  <c r="AM48" i="3"/>
  <c r="AH48" i="3"/>
  <c r="V48" i="3"/>
  <c r="U48" i="3"/>
  <c r="X48" i="3"/>
  <c r="AH36" i="3"/>
  <c r="AF36" i="3"/>
  <c r="AM36" i="3"/>
  <c r="X36" i="3"/>
  <c r="W36" i="3"/>
  <c r="V36" i="3"/>
  <c r="AF26" i="3"/>
  <c r="AM26" i="3"/>
  <c r="AH26" i="3"/>
  <c r="W26" i="3"/>
  <c r="V26" i="3"/>
  <c r="U26" i="3"/>
  <c r="AF16" i="3"/>
  <c r="AM16" i="3"/>
  <c r="AH16" i="3"/>
  <c r="V16" i="3"/>
  <c r="U16" i="3"/>
  <c r="X16" i="3"/>
  <c r="AM54" i="3"/>
  <c r="AH54" i="3"/>
  <c r="AI54" i="3" s="1"/>
  <c r="AF54" i="3"/>
  <c r="U54" i="3"/>
  <c r="X54" i="3"/>
  <c r="AM22" i="3"/>
  <c r="AH22" i="3"/>
  <c r="AF22" i="3"/>
  <c r="U22" i="3"/>
  <c r="X22" i="3"/>
  <c r="U37" i="3"/>
  <c r="U19" i="3"/>
  <c r="V46" i="3"/>
  <c r="V23" i="3"/>
  <c r="W54" i="3"/>
  <c r="W31" i="3"/>
  <c r="W8" i="3"/>
  <c r="X41" i="3"/>
  <c r="X18" i="3"/>
  <c r="AF39" i="3"/>
  <c r="L27" i="3" l="1"/>
  <c r="AQ44" i="3"/>
  <c r="AW44" i="3" s="1"/>
  <c r="L8" i="3"/>
  <c r="M8" i="3"/>
  <c r="J27" i="3"/>
  <c r="AD12" i="3"/>
  <c r="AD22" i="3"/>
  <c r="AD36" i="3"/>
  <c r="AQ36" i="3"/>
  <c r="AW36" i="3" s="1"/>
  <c r="AD20" i="3"/>
  <c r="AQ22" i="3"/>
  <c r="AW22" i="3" s="1"/>
  <c r="AE16" i="3"/>
  <c r="AG16" i="3" s="1"/>
  <c r="AD7" i="3"/>
  <c r="AQ7" i="3"/>
  <c r="AQ14" i="3"/>
  <c r="AD18" i="3"/>
  <c r="AQ18" i="3"/>
  <c r="AW18" i="3" s="1"/>
  <c r="AD31" i="3"/>
  <c r="AQ31" i="3"/>
  <c r="AW31" i="3" s="1"/>
  <c r="AD41" i="3"/>
  <c r="AQ41" i="3"/>
  <c r="AW41" i="3" s="1"/>
  <c r="AE53" i="3"/>
  <c r="AG53" i="3" s="1"/>
  <c r="AE25" i="3"/>
  <c r="AG25" i="3" s="1"/>
  <c r="AE26" i="3"/>
  <c r="AG26" i="3" s="1"/>
  <c r="AE55" i="3"/>
  <c r="AG55" i="3" s="1"/>
  <c r="AE29" i="3"/>
  <c r="AG29" i="3" s="1"/>
  <c r="AE17" i="3"/>
  <c r="AG17" i="3" s="1"/>
  <c r="AE38" i="3"/>
  <c r="AG38" i="3" s="1"/>
  <c r="AE52" i="3"/>
  <c r="AG52" i="3" s="1"/>
  <c r="AE43" i="3"/>
  <c r="AG43" i="3" s="1"/>
  <c r="AJ20" i="3"/>
  <c r="AK20" i="3" s="1"/>
  <c r="AL20" i="3" s="1"/>
  <c r="AD44" i="3"/>
  <c r="AD54" i="3"/>
  <c r="AQ54" i="3"/>
  <c r="AD16" i="3"/>
  <c r="AQ16" i="3"/>
  <c r="AW16" i="3" s="1"/>
  <c r="AD48" i="3"/>
  <c r="AQ48" i="3"/>
  <c r="AW48" i="3" s="1"/>
  <c r="AD30" i="3"/>
  <c r="AQ30" i="3"/>
  <c r="AW30" i="3" s="1"/>
  <c r="AD29" i="3"/>
  <c r="AQ29" i="3"/>
  <c r="AW29" i="3" s="1"/>
  <c r="AE19" i="3"/>
  <c r="AG19" i="3" s="1"/>
  <c r="AE41" i="3"/>
  <c r="AG41" i="3" s="1"/>
  <c r="AE8" i="3"/>
  <c r="AG8" i="3" s="1"/>
  <c r="AE21" i="3"/>
  <c r="AG21" i="3" s="1"/>
  <c r="AD39" i="3"/>
  <c r="AQ39" i="3"/>
  <c r="AW39" i="3" s="1"/>
  <c r="AD21" i="3"/>
  <c r="AQ21" i="3"/>
  <c r="AW21" i="3" s="1"/>
  <c r="AD53" i="3"/>
  <c r="AQ53" i="3"/>
  <c r="AD24" i="3"/>
  <c r="AQ24" i="3"/>
  <c r="AW24" i="3" s="1"/>
  <c r="AD34" i="3"/>
  <c r="AQ34" i="3"/>
  <c r="AW34" i="3" s="1"/>
  <c r="AD9" i="3"/>
  <c r="AQ9" i="3"/>
  <c r="AW9" i="3" s="1"/>
  <c r="AD19" i="3"/>
  <c r="AQ19" i="3"/>
  <c r="AW19" i="3" s="1"/>
  <c r="AD51" i="3"/>
  <c r="AQ51" i="3"/>
  <c r="AE40" i="3"/>
  <c r="AG40" i="3" s="1"/>
  <c r="AE9" i="3"/>
  <c r="AG9" i="3" s="1"/>
  <c r="AE50" i="3"/>
  <c r="AG50" i="3" s="1"/>
  <c r="AE12" i="3"/>
  <c r="AG12" i="3" s="1"/>
  <c r="AD26" i="3"/>
  <c r="AQ26" i="3"/>
  <c r="AW26" i="3" s="1"/>
  <c r="AE31" i="3"/>
  <c r="AG31" i="3" s="1"/>
  <c r="AE39" i="3"/>
  <c r="AG39" i="3" s="1"/>
  <c r="AE23" i="3"/>
  <c r="AG23" i="3" s="1"/>
  <c r="AE36" i="3"/>
  <c r="AG36" i="3" s="1"/>
  <c r="AE49" i="3"/>
  <c r="AG49" i="3" s="1"/>
  <c r="AE11" i="3"/>
  <c r="AG11" i="3" s="1"/>
  <c r="AE22" i="3"/>
  <c r="AG22" i="3" s="1"/>
  <c r="AE48" i="3"/>
  <c r="AG48" i="3" s="1"/>
  <c r="AE28" i="3"/>
  <c r="AG28" i="3" s="1"/>
  <c r="AE24" i="3"/>
  <c r="AG24" i="3" s="1"/>
  <c r="AE18" i="3"/>
  <c r="AG18" i="3" s="1"/>
  <c r="AE45" i="3"/>
  <c r="AG45" i="3" s="1"/>
  <c r="AD11" i="3"/>
  <c r="AQ11" i="3"/>
  <c r="AW11" i="3" s="1"/>
  <c r="AD33" i="3"/>
  <c r="AQ33" i="3"/>
  <c r="AW33" i="3" s="1"/>
  <c r="AD43" i="3"/>
  <c r="AQ43" i="3"/>
  <c r="AW43" i="3" s="1"/>
  <c r="AD23" i="3"/>
  <c r="AQ23" i="3"/>
  <c r="AD37" i="3"/>
  <c r="AQ37" i="3"/>
  <c r="AW37" i="3" s="1"/>
  <c r="AQ12" i="3"/>
  <c r="AD13" i="3"/>
  <c r="AQ13" i="3"/>
  <c r="AD45" i="3"/>
  <c r="AQ45" i="3"/>
  <c r="AW45" i="3" s="1"/>
  <c r="AE42" i="3"/>
  <c r="AG42" i="3" s="1"/>
  <c r="AE54" i="3"/>
  <c r="AG54" i="3" s="1"/>
  <c r="AE30" i="3"/>
  <c r="AG30" i="3" s="1"/>
  <c r="AE10" i="3"/>
  <c r="AG10" i="3" s="1"/>
  <c r="AE20" i="3"/>
  <c r="AG20" i="3" s="1"/>
  <c r="AE33" i="3"/>
  <c r="AG33" i="3" s="1"/>
  <c r="AE34" i="3"/>
  <c r="AG34" i="3" s="1"/>
  <c r="AE44" i="3"/>
  <c r="AG44" i="3" s="1"/>
  <c r="AE35" i="3"/>
  <c r="AG35" i="3" s="1"/>
  <c r="AE13" i="3"/>
  <c r="AG13" i="3" s="1"/>
  <c r="AD46" i="3"/>
  <c r="AQ46" i="3"/>
  <c r="AD17" i="3"/>
  <c r="AQ17" i="3"/>
  <c r="AW17" i="3" s="1"/>
  <c r="AD47" i="3"/>
  <c r="AQ47" i="3"/>
  <c r="AW47" i="3" s="1"/>
  <c r="AD40" i="3"/>
  <c r="AQ40" i="3"/>
  <c r="AW40" i="3" s="1"/>
  <c r="AD38" i="3"/>
  <c r="AQ38" i="3"/>
  <c r="AD32" i="3"/>
  <c r="AQ32" i="3"/>
  <c r="AD42" i="3"/>
  <c r="AQ42" i="3"/>
  <c r="AW42" i="3" s="1"/>
  <c r="AD49" i="3"/>
  <c r="AQ49" i="3"/>
  <c r="AW49" i="3" s="1"/>
  <c r="AD14" i="3"/>
  <c r="AD27" i="3"/>
  <c r="AQ27" i="3"/>
  <c r="AW27" i="3" s="1"/>
  <c r="AD28" i="3"/>
  <c r="AQ28" i="3"/>
  <c r="AW28" i="3" s="1"/>
  <c r="AD50" i="3"/>
  <c r="AQ50" i="3"/>
  <c r="AW50" i="3" s="1"/>
  <c r="AE51" i="3"/>
  <c r="AG51" i="3" s="1"/>
  <c r="AE27" i="3"/>
  <c r="AG27" i="3" s="1"/>
  <c r="AE47" i="3"/>
  <c r="AG47" i="3" s="1"/>
  <c r="AC15" i="3"/>
  <c r="AJ15" i="3" s="1"/>
  <c r="AK15" i="3" s="1"/>
  <c r="AL15" i="3" s="1"/>
  <c r="AA15" i="3"/>
  <c r="AA56" i="3" s="1"/>
  <c r="Z15" i="3"/>
  <c r="AP15" i="3"/>
  <c r="AP56" i="3" s="1"/>
  <c r="K84" i="24" s="1"/>
  <c r="S15" i="3"/>
  <c r="T15" i="3" s="1"/>
  <c r="Q15" i="3"/>
  <c r="Q56" i="3" s="1"/>
  <c r="I15" i="3"/>
  <c r="J15" i="3" s="1"/>
  <c r="AE32" i="3"/>
  <c r="AG32" i="3" s="1"/>
  <c r="AE37" i="3"/>
  <c r="AG37" i="3" s="1"/>
  <c r="AE14" i="3"/>
  <c r="AG14" i="3" s="1"/>
  <c r="AE46" i="3"/>
  <c r="AG46" i="3" s="1"/>
  <c r="AD10" i="3"/>
  <c r="AQ10" i="3"/>
  <c r="AQ20" i="3"/>
  <c r="AW20" i="3" s="1"/>
  <c r="AD52" i="3"/>
  <c r="AQ52" i="3"/>
  <c r="AD25" i="3"/>
  <c r="AQ25" i="3"/>
  <c r="AW25" i="3" s="1"/>
  <c r="AD35" i="3"/>
  <c r="AQ35" i="3"/>
  <c r="AW35" i="3" s="1"/>
  <c r="AD55" i="3"/>
  <c r="AQ55" i="3"/>
  <c r="AD8" i="3"/>
  <c r="AQ8" i="3"/>
  <c r="AW8" i="3" s="1"/>
  <c r="D56" i="3"/>
  <c r="K44" i="24" s="1"/>
  <c r="H7" i="3"/>
  <c r="H56" i="3" s="1"/>
  <c r="K43" i="24" s="1"/>
  <c r="T7" i="3"/>
  <c r="M35" i="3"/>
  <c r="O56" i="3"/>
  <c r="P7" i="3"/>
  <c r="P56" i="3" s="1"/>
  <c r="R7" i="3"/>
  <c r="AT7" i="3"/>
  <c r="AK7" i="3"/>
  <c r="L35" i="3"/>
  <c r="J43" i="3"/>
  <c r="M43" i="3"/>
  <c r="D52" i="5"/>
  <c r="M11" i="3"/>
  <c r="M52" i="3"/>
  <c r="J11" i="3"/>
  <c r="M7" i="3"/>
  <c r="L52" i="3"/>
  <c r="L19" i="3"/>
  <c r="M51" i="3"/>
  <c r="L51" i="3"/>
  <c r="J40" i="3"/>
  <c r="M28" i="3"/>
  <c r="J28" i="3"/>
  <c r="L32" i="3"/>
  <c r="M32" i="3"/>
  <c r="J50" i="3"/>
  <c r="L9" i="3"/>
  <c r="J12" i="3"/>
  <c r="J19" i="3"/>
  <c r="AU38" i="3"/>
  <c r="J16" i="3"/>
  <c r="L36" i="3"/>
  <c r="AT55" i="3"/>
  <c r="AU55" i="3" s="1"/>
  <c r="AT21" i="3"/>
  <c r="AU14" i="3"/>
  <c r="AT23" i="3"/>
  <c r="AU23" i="3" s="1"/>
  <c r="J34" i="3"/>
  <c r="J10" i="3"/>
  <c r="J44" i="3"/>
  <c r="M44" i="3"/>
  <c r="M12" i="3"/>
  <c r="M10" i="3"/>
  <c r="M34" i="3"/>
  <c r="AU46" i="3"/>
  <c r="AU13" i="3"/>
  <c r="AU54" i="3"/>
  <c r="J41" i="3"/>
  <c r="L33" i="3"/>
  <c r="AU52" i="3"/>
  <c r="AT52" i="3"/>
  <c r="M33" i="3"/>
  <c r="AT32" i="3"/>
  <c r="AU32" i="3" s="1"/>
  <c r="L16" i="3"/>
  <c r="L49" i="3"/>
  <c r="AU53" i="3"/>
  <c r="AU10" i="3"/>
  <c r="AT10" i="3"/>
  <c r="L40" i="3"/>
  <c r="AT12" i="3"/>
  <c r="AU12" i="3"/>
  <c r="AV15" i="3"/>
  <c r="AV56" i="3" s="1"/>
  <c r="AR15" i="3"/>
  <c r="AR56" i="3" s="1"/>
  <c r="J49" i="3"/>
  <c r="AT51" i="3"/>
  <c r="AU51" i="3" s="1"/>
  <c r="M36" i="3"/>
  <c r="L18" i="3"/>
  <c r="J9" i="3"/>
  <c r="Y28" i="3"/>
  <c r="Y9" i="3"/>
  <c r="Y20" i="3"/>
  <c r="Y11" i="3"/>
  <c r="Y34" i="3"/>
  <c r="J17" i="3"/>
  <c r="Y19" i="3"/>
  <c r="Y40" i="3"/>
  <c r="Y54" i="3"/>
  <c r="L14" i="3"/>
  <c r="M14" i="3"/>
  <c r="J48" i="3"/>
  <c r="Y16" i="3"/>
  <c r="Y45" i="3"/>
  <c r="L17" i="3"/>
  <c r="M50" i="3"/>
  <c r="L20" i="3"/>
  <c r="Y38" i="3"/>
  <c r="J42" i="3"/>
  <c r="Y10" i="3"/>
  <c r="J20" i="3"/>
  <c r="Y25" i="3"/>
  <c r="L25" i="3"/>
  <c r="Y31" i="3"/>
  <c r="Y23" i="3"/>
  <c r="Y50" i="3"/>
  <c r="Y29" i="3"/>
  <c r="Y26" i="3"/>
  <c r="L42" i="3"/>
  <c r="L38" i="3"/>
  <c r="J22" i="3"/>
  <c r="Y14" i="3"/>
  <c r="Y32" i="3"/>
  <c r="Y39" i="3"/>
  <c r="Y12" i="3"/>
  <c r="Y41" i="3"/>
  <c r="Y35" i="3"/>
  <c r="L7" i="3"/>
  <c r="Y8" i="3"/>
  <c r="J7" i="3"/>
  <c r="M25" i="3"/>
  <c r="M38" i="3"/>
  <c r="M26" i="3"/>
  <c r="M54" i="3"/>
  <c r="L54" i="3"/>
  <c r="L41" i="3"/>
  <c r="Y30" i="3"/>
  <c r="Y36" i="3"/>
  <c r="Y55" i="3"/>
  <c r="Y46" i="3"/>
  <c r="Y21" i="3"/>
  <c r="Y52" i="3"/>
  <c r="Y49" i="3"/>
  <c r="Y33" i="3"/>
  <c r="Y24" i="3"/>
  <c r="Y27" i="3"/>
  <c r="Y53" i="3"/>
  <c r="Y42" i="3"/>
  <c r="M18" i="3"/>
  <c r="Y43" i="3"/>
  <c r="Y48" i="3"/>
  <c r="Y37" i="3"/>
  <c r="Y22" i="3"/>
  <c r="Y51" i="3"/>
  <c r="Y44" i="3"/>
  <c r="Y13" i="3"/>
  <c r="L26" i="3"/>
  <c r="Y47" i="3"/>
  <c r="Y17" i="3"/>
  <c r="Y18" i="3"/>
  <c r="J30" i="3"/>
  <c r="AI28" i="3"/>
  <c r="AI32" i="3"/>
  <c r="AI45" i="3"/>
  <c r="AI10" i="3"/>
  <c r="AI20" i="3"/>
  <c r="AI16" i="3"/>
  <c r="AI35" i="3"/>
  <c r="AI39" i="3"/>
  <c r="AI14" i="3"/>
  <c r="AI27" i="3"/>
  <c r="AI47" i="3"/>
  <c r="M22" i="3"/>
  <c r="L24" i="3"/>
  <c r="M24" i="3"/>
  <c r="AI26" i="3"/>
  <c r="AI36" i="3"/>
  <c r="AI30" i="3"/>
  <c r="AI42" i="3"/>
  <c r="AI37" i="3"/>
  <c r="AI40" i="3"/>
  <c r="AI46" i="3"/>
  <c r="AI12" i="3"/>
  <c r="AI24" i="3"/>
  <c r="AI13" i="3"/>
  <c r="AI25" i="3"/>
  <c r="AI18" i="3"/>
  <c r="F56" i="3"/>
  <c r="K45" i="24" s="1"/>
  <c r="AM15" i="3"/>
  <c r="AM56" i="3" s="1"/>
  <c r="AH15" i="3"/>
  <c r="AH56" i="3" s="1"/>
  <c r="AF15" i="3"/>
  <c r="U15" i="3"/>
  <c r="U56" i="3" s="1"/>
  <c r="X15" i="3"/>
  <c r="X56" i="3" s="1"/>
  <c r="K61" i="24" s="1"/>
  <c r="W15" i="3"/>
  <c r="W56" i="3" s="1"/>
  <c r="K60" i="24" s="1"/>
  <c r="V15" i="3"/>
  <c r="V56" i="3" s="1"/>
  <c r="AI22" i="3"/>
  <c r="AI48" i="3"/>
  <c r="AI31" i="3"/>
  <c r="AI19" i="3"/>
  <c r="AI41" i="3"/>
  <c r="AI38" i="3"/>
  <c r="AI43" i="3"/>
  <c r="AI7" i="3"/>
  <c r="AI49" i="3"/>
  <c r="AI17" i="3"/>
  <c r="L30" i="3"/>
  <c r="AI9" i="3"/>
  <c r="AI29" i="3"/>
  <c r="AI21" i="3"/>
  <c r="AI34" i="3"/>
  <c r="AI44" i="3"/>
  <c r="AI23" i="3"/>
  <c r="M46" i="3"/>
  <c r="L48" i="3"/>
  <c r="L46" i="3"/>
  <c r="AI8" i="3"/>
  <c r="AI11" i="3"/>
  <c r="AI33" i="3"/>
  <c r="M31" i="3"/>
  <c r="J21" i="3"/>
  <c r="M39" i="3"/>
  <c r="M47" i="3"/>
  <c r="M21" i="3"/>
  <c r="M23" i="3"/>
  <c r="J45" i="3"/>
  <c r="J29" i="3"/>
  <c r="M55" i="3"/>
  <c r="M29" i="3"/>
  <c r="M45" i="3"/>
  <c r="M37" i="3"/>
  <c r="L13" i="3"/>
  <c r="L23" i="3"/>
  <c r="M53" i="3"/>
  <c r="L31" i="3"/>
  <c r="L37" i="3"/>
  <c r="L39" i="3"/>
  <c r="L47" i="3"/>
  <c r="J53" i="3"/>
  <c r="M13" i="3"/>
  <c r="L55" i="3"/>
  <c r="AW23" i="3" l="1"/>
  <c r="L35" i="24"/>
  <c r="K59" i="24"/>
  <c r="K52" i="24"/>
  <c r="K55" i="24"/>
  <c r="N27" i="3"/>
  <c r="N8" i="3"/>
  <c r="AW54" i="3"/>
  <c r="AN51" i="3"/>
  <c r="AN55" i="3"/>
  <c r="AW55" i="3"/>
  <c r="AN54" i="3"/>
  <c r="AW46" i="3"/>
  <c r="AN40" i="3"/>
  <c r="AN53" i="3"/>
  <c r="AN50" i="3"/>
  <c r="AD15" i="3"/>
  <c r="AQ15" i="3"/>
  <c r="AQ56" i="3" s="1"/>
  <c r="K83" i="24" s="1"/>
  <c r="AE15" i="3"/>
  <c r="AG15" i="3" s="1"/>
  <c r="AN52" i="3"/>
  <c r="AW12" i="3"/>
  <c r="N35" i="3"/>
  <c r="AC56" i="3"/>
  <c r="K72" i="24" s="1"/>
  <c r="S56" i="3"/>
  <c r="Y7" i="3"/>
  <c r="R15" i="3"/>
  <c r="Y15" i="3" s="1"/>
  <c r="AJ56" i="3"/>
  <c r="K79" i="24" s="1"/>
  <c r="AL7" i="3"/>
  <c r="AL56" i="3" s="1"/>
  <c r="L78" i="24" s="1"/>
  <c r="AK56" i="3"/>
  <c r="AU7" i="3"/>
  <c r="AW7" i="3" s="1"/>
  <c r="AF56" i="3"/>
  <c r="AG7" i="3"/>
  <c r="N43" i="3"/>
  <c r="T56" i="3"/>
  <c r="K56" i="24" s="1"/>
  <c r="AW52" i="3"/>
  <c r="N52" i="3"/>
  <c r="N11" i="3"/>
  <c r="N28" i="3"/>
  <c r="N51" i="3"/>
  <c r="N19" i="3"/>
  <c r="N50" i="3"/>
  <c r="N40" i="3"/>
  <c r="N32" i="3"/>
  <c r="N12" i="3"/>
  <c r="N9" i="3"/>
  <c r="N36" i="3"/>
  <c r="AW38" i="3"/>
  <c r="AW51" i="3"/>
  <c r="N10" i="3"/>
  <c r="N44" i="3"/>
  <c r="N16" i="3"/>
  <c r="AW14" i="3"/>
  <c r="N33" i="3"/>
  <c r="AW32" i="3"/>
  <c r="N41" i="3"/>
  <c r="N34" i="3"/>
  <c r="AN13" i="3"/>
  <c r="AW53" i="3"/>
  <c r="N49" i="3"/>
  <c r="N18" i="3"/>
  <c r="AN14" i="3"/>
  <c r="AN26" i="3"/>
  <c r="N20" i="3"/>
  <c r="AN25" i="3"/>
  <c r="AN9" i="3"/>
  <c r="AN38" i="3"/>
  <c r="AN42" i="3"/>
  <c r="AN17" i="3"/>
  <c r="AN31" i="3"/>
  <c r="AN46" i="3"/>
  <c r="AN45" i="3"/>
  <c r="N22" i="3"/>
  <c r="AW10" i="3"/>
  <c r="N38" i="3"/>
  <c r="N17" i="3"/>
  <c r="AT15" i="3"/>
  <c r="AU15" i="3" s="1"/>
  <c r="AW13" i="3"/>
  <c r="N7" i="3"/>
  <c r="AN8" i="3"/>
  <c r="AN12" i="3"/>
  <c r="N42" i="3"/>
  <c r="AN20" i="3"/>
  <c r="AN41" i="3"/>
  <c r="AN27" i="3"/>
  <c r="N24" i="3"/>
  <c r="N37" i="3"/>
  <c r="N25" i="3"/>
  <c r="N14" i="3"/>
  <c r="AN43" i="3"/>
  <c r="AN19" i="3"/>
  <c r="I56" i="3"/>
  <c r="K47" i="24" s="1"/>
  <c r="N48" i="3"/>
  <c r="AN21" i="3"/>
  <c r="AN16" i="3"/>
  <c r="N30" i="3"/>
  <c r="AN49" i="3"/>
  <c r="AN37" i="3"/>
  <c r="AN35" i="3"/>
  <c r="AN34" i="3"/>
  <c r="N54" i="3"/>
  <c r="AN33" i="3"/>
  <c r="AN23" i="3"/>
  <c r="N26" i="3"/>
  <c r="AN11" i="3"/>
  <c r="N46" i="3"/>
  <c r="AN36" i="3"/>
  <c r="AN30" i="3"/>
  <c r="N47" i="3"/>
  <c r="AN28" i="3"/>
  <c r="AN22" i="3"/>
  <c r="AN18" i="3"/>
  <c r="AN44" i="3"/>
  <c r="AN32" i="3"/>
  <c r="AN29" i="3"/>
  <c r="AN39" i="3"/>
  <c r="AN10" i="3"/>
  <c r="AI15" i="3"/>
  <c r="AI56" i="3" s="1"/>
  <c r="L76" i="24" s="1"/>
  <c r="AN47" i="3"/>
  <c r="AN48" i="3"/>
  <c r="AN24" i="3"/>
  <c r="L15" i="3"/>
  <c r="L56" i="3" s="1"/>
  <c r="K48" i="24" s="1"/>
  <c r="M15" i="3"/>
  <c r="M56" i="3" s="1"/>
  <c r="K50" i="24" s="1"/>
  <c r="Z56" i="3"/>
  <c r="J56" i="3"/>
  <c r="N21" i="3"/>
  <c r="N31" i="3"/>
  <c r="N39" i="3"/>
  <c r="N45" i="3"/>
  <c r="N23" i="3"/>
  <c r="N29" i="3"/>
  <c r="N55" i="3"/>
  <c r="N53" i="3"/>
  <c r="N13" i="3"/>
  <c r="AX8" i="3" l="1"/>
  <c r="AY8" i="3" s="1"/>
  <c r="AM6" i="13" s="1"/>
  <c r="K58" i="24"/>
  <c r="K86" i="24"/>
  <c r="K80" i="24"/>
  <c r="K46" i="24"/>
  <c r="K49" i="24"/>
  <c r="K67" i="24"/>
  <c r="AX27" i="3"/>
  <c r="AY27" i="3" s="1"/>
  <c r="AM25" i="13" s="1"/>
  <c r="AX54" i="3"/>
  <c r="E50" i="5" s="1"/>
  <c r="G50" i="5" s="1"/>
  <c r="AX40" i="3"/>
  <c r="AY40" i="3" s="1"/>
  <c r="AM38" i="13" s="1"/>
  <c r="AD56" i="3"/>
  <c r="L71" i="24" s="1"/>
  <c r="AX50" i="3"/>
  <c r="E46" i="5" s="1"/>
  <c r="G46" i="5" s="1"/>
  <c r="AX55" i="3"/>
  <c r="E51" i="5" s="1"/>
  <c r="G51" i="5" s="1"/>
  <c r="AE56" i="3"/>
  <c r="K74" i="24" s="1"/>
  <c r="AG56" i="3"/>
  <c r="AX52" i="3"/>
  <c r="E48" i="5" s="1"/>
  <c r="G48" i="5" s="1"/>
  <c r="AN7" i="3"/>
  <c r="AX7" i="3" s="1"/>
  <c r="Y56" i="3"/>
  <c r="L51" i="24" s="1"/>
  <c r="AX35" i="3"/>
  <c r="AY35" i="3" s="1"/>
  <c r="AM33" i="13" s="1"/>
  <c r="AT56" i="3"/>
  <c r="K87" i="24" s="1"/>
  <c r="R56" i="3"/>
  <c r="K54" i="24" s="1"/>
  <c r="AX43" i="3"/>
  <c r="E39" i="5" s="1"/>
  <c r="G39" i="5" s="1"/>
  <c r="AX16" i="3"/>
  <c r="AX51" i="3"/>
  <c r="AX11" i="3"/>
  <c r="AX28" i="3"/>
  <c r="AX12" i="3"/>
  <c r="AX19" i="3"/>
  <c r="AX9" i="3"/>
  <c r="AX36" i="3"/>
  <c r="AX18" i="3"/>
  <c r="AX33" i="3"/>
  <c r="AX20" i="3"/>
  <c r="AX44" i="3"/>
  <c r="AX14" i="3"/>
  <c r="AX41" i="3"/>
  <c r="AX32" i="3"/>
  <c r="AX17" i="3"/>
  <c r="AX29" i="3"/>
  <c r="AX46" i="3"/>
  <c r="AX42" i="3"/>
  <c r="AX49" i="3"/>
  <c r="AX26" i="3"/>
  <c r="AX25" i="3"/>
  <c r="AX31" i="3"/>
  <c r="AX53" i="3"/>
  <c r="AX34" i="3"/>
  <c r="AX45" i="3"/>
  <c r="AX13" i="3"/>
  <c r="AX10" i="3"/>
  <c r="AX38" i="3"/>
  <c r="AX48" i="3"/>
  <c r="AX37" i="3"/>
  <c r="AX24" i="3"/>
  <c r="AW15" i="3"/>
  <c r="AW56" i="3" s="1"/>
  <c r="L82" i="24" s="1"/>
  <c r="AU56" i="3"/>
  <c r="K90" i="24" s="1"/>
  <c r="AX23" i="3"/>
  <c r="AX39" i="3"/>
  <c r="AX22" i="3"/>
  <c r="AX47" i="3"/>
  <c r="AX21" i="3"/>
  <c r="AX30" i="3"/>
  <c r="N15" i="3"/>
  <c r="AN15" i="3"/>
  <c r="E4" i="5" l="1"/>
  <c r="G4" i="5" s="1"/>
  <c r="N6" i="13" s="1"/>
  <c r="S6" i="13" s="1"/>
  <c r="E23" i="5"/>
  <c r="G23" i="5" s="1"/>
  <c r="D25" i="6" s="1"/>
  <c r="O25" i="6" s="1"/>
  <c r="K75" i="24"/>
  <c r="K57" i="24"/>
  <c r="L73" i="24"/>
  <c r="K77" i="24"/>
  <c r="K63" i="24"/>
  <c r="E36" i="5"/>
  <c r="G36" i="5" s="1"/>
  <c r="D38" i="10" s="1"/>
  <c r="AY54" i="3"/>
  <c r="AM52" i="13" s="1"/>
  <c r="AY50" i="3"/>
  <c r="AM48" i="13" s="1"/>
  <c r="AY55" i="3"/>
  <c r="AM53" i="13" s="1"/>
  <c r="AN56" i="3"/>
  <c r="K62" i="24" s="1"/>
  <c r="N52" i="13"/>
  <c r="S52" i="13" s="1"/>
  <c r="AP52" i="13" s="1"/>
  <c r="N41" i="13"/>
  <c r="S41" i="13" s="1"/>
  <c r="AP41" i="13" s="1"/>
  <c r="N48" i="13"/>
  <c r="S48" i="13" s="1"/>
  <c r="AP48" i="13" s="1"/>
  <c r="N53" i="13"/>
  <c r="S53" i="13" s="1"/>
  <c r="AP53" i="13" s="1"/>
  <c r="N50" i="13"/>
  <c r="S50" i="13" s="1"/>
  <c r="AP50" i="13" s="1"/>
  <c r="AY52" i="3"/>
  <c r="AM50" i="13" s="1"/>
  <c r="E31" i="5"/>
  <c r="G31" i="5" s="1"/>
  <c r="K88" i="24"/>
  <c r="K85" i="24"/>
  <c r="AY43" i="3"/>
  <c r="E43" i="5"/>
  <c r="G43" i="5" s="1"/>
  <c r="AY47" i="3"/>
  <c r="AM45" i="13" s="1"/>
  <c r="E27" i="5"/>
  <c r="G27" i="5" s="1"/>
  <c r="AY31" i="3"/>
  <c r="AM29" i="13" s="1"/>
  <c r="E28" i="5"/>
  <c r="G28" i="5" s="1"/>
  <c r="AY32" i="3"/>
  <c r="AM30" i="13" s="1"/>
  <c r="E26" i="5"/>
  <c r="G26" i="5" s="1"/>
  <c r="AY30" i="3"/>
  <c r="AM28" i="13" s="1"/>
  <c r="E20" i="5"/>
  <c r="G20" i="5" s="1"/>
  <c r="AY24" i="3"/>
  <c r="AM22" i="13" s="1"/>
  <c r="E30" i="5"/>
  <c r="G30" i="5" s="1"/>
  <c r="AY34" i="3"/>
  <c r="AM32" i="13" s="1"/>
  <c r="E25" i="5"/>
  <c r="G25" i="5" s="1"/>
  <c r="AY29" i="3"/>
  <c r="AM27" i="13" s="1"/>
  <c r="E29" i="5"/>
  <c r="G29" i="5" s="1"/>
  <c r="AY33" i="3"/>
  <c r="AM31" i="13" s="1"/>
  <c r="E44" i="5"/>
  <c r="G44" i="5" s="1"/>
  <c r="AY48" i="3"/>
  <c r="AM46" i="13" s="1"/>
  <c r="E17" i="5"/>
  <c r="G17" i="5" s="1"/>
  <c r="AY21" i="3"/>
  <c r="AM19" i="13" s="1"/>
  <c r="E33" i="5"/>
  <c r="G33" i="5" s="1"/>
  <c r="AY37" i="3"/>
  <c r="AM35" i="13" s="1"/>
  <c r="E49" i="5"/>
  <c r="G49" i="5" s="1"/>
  <c r="AY53" i="3"/>
  <c r="AM51" i="13" s="1"/>
  <c r="E13" i="5"/>
  <c r="G13" i="5" s="1"/>
  <c r="AY17" i="3"/>
  <c r="AM15" i="13" s="1"/>
  <c r="E14" i="5"/>
  <c r="G14" i="5" s="1"/>
  <c r="AY18" i="3"/>
  <c r="AM16" i="13" s="1"/>
  <c r="E21" i="5"/>
  <c r="G21" i="5" s="1"/>
  <c r="AY25" i="3"/>
  <c r="AM23" i="13" s="1"/>
  <c r="E35" i="5"/>
  <c r="G35" i="5" s="1"/>
  <c r="AY39" i="3"/>
  <c r="AM37" i="13" s="1"/>
  <c r="E6" i="5"/>
  <c r="G6" i="5" s="1"/>
  <c r="AY10" i="3"/>
  <c r="AM8" i="13" s="1"/>
  <c r="E22" i="5"/>
  <c r="G22" i="5" s="1"/>
  <c r="AY26" i="3"/>
  <c r="AM24" i="13" s="1"/>
  <c r="E15" i="5"/>
  <c r="G15" i="5" s="1"/>
  <c r="AY19" i="3"/>
  <c r="AM17" i="13" s="1"/>
  <c r="E12" i="5"/>
  <c r="G12" i="5" s="1"/>
  <c r="AY16" i="3"/>
  <c r="AM14" i="13" s="1"/>
  <c r="E34" i="5"/>
  <c r="G34" i="5" s="1"/>
  <c r="AY38" i="3"/>
  <c r="AM36" i="13" s="1"/>
  <c r="E37" i="5"/>
  <c r="G37" i="5" s="1"/>
  <c r="AY41" i="3"/>
  <c r="AM39" i="13" s="1"/>
  <c r="E47" i="5"/>
  <c r="G47" i="5" s="1"/>
  <c r="AY51" i="3"/>
  <c r="AM49" i="13" s="1"/>
  <c r="E10" i="5"/>
  <c r="G10" i="5" s="1"/>
  <c r="AY14" i="3"/>
  <c r="AM12" i="13" s="1"/>
  <c r="E19" i="5"/>
  <c r="G19" i="5" s="1"/>
  <c r="AY23" i="3"/>
  <c r="AM21" i="13" s="1"/>
  <c r="E9" i="5"/>
  <c r="G9" i="5" s="1"/>
  <c r="AY13" i="3"/>
  <c r="AM11" i="13" s="1"/>
  <c r="E45" i="5"/>
  <c r="G45" i="5" s="1"/>
  <c r="AY49" i="3"/>
  <c r="AM47" i="13" s="1"/>
  <c r="E40" i="5"/>
  <c r="G40" i="5" s="1"/>
  <c r="AY44" i="3"/>
  <c r="AM42" i="13" s="1"/>
  <c r="E8" i="5"/>
  <c r="G8" i="5" s="1"/>
  <c r="AY12" i="3"/>
  <c r="AM10" i="13" s="1"/>
  <c r="E32" i="5"/>
  <c r="G32" i="5" s="1"/>
  <c r="AY36" i="3"/>
  <c r="AM34" i="13" s="1"/>
  <c r="E18" i="5"/>
  <c r="G18" i="5" s="1"/>
  <c r="AY22" i="3"/>
  <c r="AM20" i="13" s="1"/>
  <c r="E5" i="5"/>
  <c r="G5" i="5" s="1"/>
  <c r="AY9" i="3"/>
  <c r="AM7" i="13" s="1"/>
  <c r="E41" i="5"/>
  <c r="G41" i="5" s="1"/>
  <c r="AY45" i="3"/>
  <c r="AM43" i="13" s="1"/>
  <c r="E38" i="5"/>
  <c r="G38" i="5" s="1"/>
  <c r="AY42" i="3"/>
  <c r="AM40" i="13" s="1"/>
  <c r="E16" i="5"/>
  <c r="G16" i="5" s="1"/>
  <c r="AY20" i="3"/>
  <c r="AM18" i="13" s="1"/>
  <c r="E24" i="5"/>
  <c r="G24" i="5" s="1"/>
  <c r="AY28" i="3"/>
  <c r="AM26" i="13" s="1"/>
  <c r="E42" i="5"/>
  <c r="G42" i="5" s="1"/>
  <c r="AY46" i="3"/>
  <c r="AM44" i="13" s="1"/>
  <c r="E3" i="5"/>
  <c r="AY7" i="3"/>
  <c r="AM5" i="13" s="1"/>
  <c r="E7" i="5"/>
  <c r="G7" i="5" s="1"/>
  <c r="AY11" i="3"/>
  <c r="AM9" i="13" s="1"/>
  <c r="D53" i="6"/>
  <c r="L53" i="6" s="1"/>
  <c r="D53" i="11"/>
  <c r="D50" i="6"/>
  <c r="N50" i="6" s="1"/>
  <c r="D50" i="11"/>
  <c r="D52" i="6"/>
  <c r="M52" i="6" s="1"/>
  <c r="D52" i="11"/>
  <c r="D41" i="8"/>
  <c r="D41" i="11"/>
  <c r="D48" i="8"/>
  <c r="D48" i="11"/>
  <c r="N56" i="3"/>
  <c r="AX15" i="3"/>
  <c r="AY15" i="3" s="1"/>
  <c r="AM13" i="13" s="1"/>
  <c r="D6" i="10" l="1"/>
  <c r="J6" i="10" s="1"/>
  <c r="D6" i="11"/>
  <c r="D25" i="11"/>
  <c r="N25" i="13"/>
  <c r="S25" i="13" s="1"/>
  <c r="AN25" i="13" s="1"/>
  <c r="G3" i="5"/>
  <c r="D5" i="11" s="1"/>
  <c r="AN6" i="13"/>
  <c r="AP6" i="13"/>
  <c r="L42" i="24"/>
  <c r="K53" i="24"/>
  <c r="N38" i="13"/>
  <c r="S38" i="13" s="1"/>
  <c r="D38" i="11"/>
  <c r="AX56" i="3"/>
  <c r="AN52" i="13"/>
  <c r="AN48" i="13"/>
  <c r="AN53" i="13"/>
  <c r="N22" i="13"/>
  <c r="S22" i="13" s="1"/>
  <c r="D18" i="10"/>
  <c r="I18" i="10" s="1"/>
  <c r="N14" i="13"/>
  <c r="S14" i="13" s="1"/>
  <c r="N37" i="13"/>
  <c r="S37" i="13" s="1"/>
  <c r="N31" i="13"/>
  <c r="S31" i="13" s="1"/>
  <c r="N9" i="13"/>
  <c r="S9" i="13" s="1"/>
  <c r="N20" i="13"/>
  <c r="S20" i="13" s="1"/>
  <c r="N28" i="13"/>
  <c r="S28" i="13" s="1"/>
  <c r="D40" i="6"/>
  <c r="P40" i="6" s="1"/>
  <c r="N49" i="13"/>
  <c r="S49" i="13" s="1"/>
  <c r="N17" i="13"/>
  <c r="S17" i="13" s="1"/>
  <c r="N35" i="13"/>
  <c r="S35" i="13" s="1"/>
  <c r="N11" i="13"/>
  <c r="S11" i="13" s="1"/>
  <c r="D24" i="11"/>
  <c r="N19" i="13"/>
  <c r="S19" i="13" s="1"/>
  <c r="N43" i="13"/>
  <c r="S43" i="13" s="1"/>
  <c r="N33" i="13"/>
  <c r="S33" i="13" s="1"/>
  <c r="N45" i="13"/>
  <c r="S45" i="13" s="1"/>
  <c r="N26" i="13"/>
  <c r="S26" i="13" s="1"/>
  <c r="N10" i="13"/>
  <c r="S10" i="13" s="1"/>
  <c r="N21" i="13"/>
  <c r="S21" i="13" s="1"/>
  <c r="N36" i="13"/>
  <c r="S36" i="13" s="1"/>
  <c r="N8" i="13"/>
  <c r="S8" i="13" s="1"/>
  <c r="N46" i="13"/>
  <c r="S46" i="13" s="1"/>
  <c r="AN50" i="13"/>
  <c r="D33" i="11"/>
  <c r="D33" i="6"/>
  <c r="O33" i="6" s="1"/>
  <c r="AM41" i="13"/>
  <c r="AN41" i="13" s="1"/>
  <c r="D49" i="11"/>
  <c r="D49" i="8"/>
  <c r="D14" i="10"/>
  <c r="J14" i="10" s="1"/>
  <c r="D9" i="11"/>
  <c r="D17" i="11"/>
  <c r="D9" i="6"/>
  <c r="M9" i="6" s="1"/>
  <c r="D14" i="11"/>
  <c r="D10" i="10"/>
  <c r="J10" i="10" s="1"/>
  <c r="D17" i="8"/>
  <c r="D10" i="11"/>
  <c r="D26" i="11"/>
  <c r="D26" i="10"/>
  <c r="I26" i="10" s="1"/>
  <c r="D51" i="11"/>
  <c r="N51" i="13"/>
  <c r="S51" i="13" s="1"/>
  <c r="AP51" i="13" s="1"/>
  <c r="D44" i="11"/>
  <c r="N44" i="13"/>
  <c r="S44" i="13" s="1"/>
  <c r="AP44" i="13" s="1"/>
  <c r="N47" i="13"/>
  <c r="S47" i="13" s="1"/>
  <c r="AP47" i="13" s="1"/>
  <c r="D7" i="8"/>
  <c r="N7" i="13"/>
  <c r="S7" i="13" s="1"/>
  <c r="AP7" i="13" s="1"/>
  <c r="D18" i="11"/>
  <c r="N18" i="13"/>
  <c r="S18" i="13" s="1"/>
  <c r="AP18" i="13" s="1"/>
  <c r="D27" i="10"/>
  <c r="J27" i="10" s="1"/>
  <c r="N27" i="13"/>
  <c r="S27" i="13" s="1"/>
  <c r="AP27" i="13" s="1"/>
  <c r="D40" i="11"/>
  <c r="N40" i="13"/>
  <c r="S40" i="13" s="1"/>
  <c r="AP40" i="13" s="1"/>
  <c r="D24" i="8"/>
  <c r="N24" i="13"/>
  <c r="S24" i="13" s="1"/>
  <c r="AP24" i="13" s="1"/>
  <c r="D34" i="8"/>
  <c r="N34" i="13"/>
  <c r="S34" i="13" s="1"/>
  <c r="AP34" i="13" s="1"/>
  <c r="D39" i="10"/>
  <c r="K39" i="10" s="1"/>
  <c r="N39" i="13"/>
  <c r="S39" i="13" s="1"/>
  <c r="AP39" i="13" s="1"/>
  <c r="D31" i="8"/>
  <c r="D32" i="6"/>
  <c r="K32" i="6" s="1"/>
  <c r="N32" i="13"/>
  <c r="S32" i="13" s="1"/>
  <c r="AP32" i="13" s="1"/>
  <c r="D23" i="6"/>
  <c r="K23" i="6" s="1"/>
  <c r="N23" i="13"/>
  <c r="S23" i="13" s="1"/>
  <c r="AP23" i="13" s="1"/>
  <c r="D12" i="6"/>
  <c r="O12" i="6" s="1"/>
  <c r="N12" i="13"/>
  <c r="S12" i="13" s="1"/>
  <c r="AP12" i="13" s="1"/>
  <c r="D42" i="10"/>
  <c r="J42" i="10" s="1"/>
  <c r="N42" i="13"/>
  <c r="S42" i="13" s="1"/>
  <c r="AP42" i="13" s="1"/>
  <c r="D31" i="11"/>
  <c r="D15" i="10"/>
  <c r="I15" i="10" s="1"/>
  <c r="N15" i="13"/>
  <c r="S15" i="13" s="1"/>
  <c r="AP15" i="13" s="1"/>
  <c r="D29" i="10"/>
  <c r="K29" i="10" s="1"/>
  <c r="N29" i="13"/>
  <c r="S29" i="13" s="1"/>
  <c r="AP29" i="13" s="1"/>
  <c r="D30" i="6"/>
  <c r="O30" i="6" s="1"/>
  <c r="N30" i="13"/>
  <c r="S30" i="13" s="1"/>
  <c r="AP30" i="13" s="1"/>
  <c r="D16" i="8"/>
  <c r="N16" i="13"/>
  <c r="S16" i="13" s="1"/>
  <c r="AP16" i="13" s="1"/>
  <c r="D16" i="11"/>
  <c r="D34" i="11"/>
  <c r="D12" i="11"/>
  <c r="D7" i="11"/>
  <c r="D51" i="6"/>
  <c r="M51" i="6" s="1"/>
  <c r="D42" i="11"/>
  <c r="D41" i="10"/>
  <c r="I41" i="10" s="1"/>
  <c r="D39" i="11"/>
  <c r="D41" i="6"/>
  <c r="O41" i="6" s="1"/>
  <c r="D44" i="6"/>
  <c r="O44" i="6" s="1"/>
  <c r="D30" i="11"/>
  <c r="D52" i="8"/>
  <c r="D27" i="11"/>
  <c r="D32" i="11"/>
  <c r="D50" i="10"/>
  <c r="I50" i="10" s="1"/>
  <c r="D48" i="6"/>
  <c r="P48" i="6" s="1"/>
  <c r="D23" i="11"/>
  <c r="D29" i="11"/>
  <c r="D15" i="11"/>
  <c r="D38" i="8"/>
  <c r="D38" i="6"/>
  <c r="L38" i="6" s="1"/>
  <c r="D25" i="8"/>
  <c r="D47" i="11"/>
  <c r="D48" i="10"/>
  <c r="J48" i="10" s="1"/>
  <c r="D22" i="6"/>
  <c r="M22" i="6" s="1"/>
  <c r="D22" i="11"/>
  <c r="D11" i="6"/>
  <c r="P11" i="6" s="1"/>
  <c r="D11" i="11"/>
  <c r="D53" i="10"/>
  <c r="K53" i="10" s="1"/>
  <c r="D52" i="10"/>
  <c r="J52" i="10" s="1"/>
  <c r="D53" i="8"/>
  <c r="D28" i="8"/>
  <c r="D28" i="11"/>
  <c r="D8" i="6"/>
  <c r="L8" i="6" s="1"/>
  <c r="D8" i="11"/>
  <c r="D20" i="6"/>
  <c r="P20" i="6" s="1"/>
  <c r="D20" i="11"/>
  <c r="D45" i="6"/>
  <c r="M45" i="6" s="1"/>
  <c r="D45" i="11"/>
  <c r="D36" i="6"/>
  <c r="P36" i="6" s="1"/>
  <c r="D36" i="11"/>
  <c r="D37" i="6"/>
  <c r="M37" i="6" s="1"/>
  <c r="D37" i="11"/>
  <c r="D50" i="8"/>
  <c r="D46" i="6"/>
  <c r="M46" i="6" s="1"/>
  <c r="D46" i="11"/>
  <c r="D19" i="6"/>
  <c r="P19" i="6" s="1"/>
  <c r="D19" i="11"/>
  <c r="D43" i="6"/>
  <c r="M43" i="6" s="1"/>
  <c r="D43" i="11"/>
  <c r="D25" i="10"/>
  <c r="K25" i="10" s="1"/>
  <c r="D35" i="6"/>
  <c r="M35" i="6" s="1"/>
  <c r="D35" i="11"/>
  <c r="D21" i="6"/>
  <c r="N21" i="6" s="1"/>
  <c r="D21" i="11"/>
  <c r="K53" i="6"/>
  <c r="O53" i="6"/>
  <c r="M53" i="6"/>
  <c r="P53" i="6"/>
  <c r="N53" i="6"/>
  <c r="L25" i="6"/>
  <c r="K50" i="6"/>
  <c r="O52" i="6"/>
  <c r="K52" i="6"/>
  <c r="P52" i="6"/>
  <c r="M25" i="6"/>
  <c r="N52" i="6"/>
  <c r="L50" i="6"/>
  <c r="N25" i="6"/>
  <c r="M50" i="6"/>
  <c r="L52" i="6"/>
  <c r="P50" i="6"/>
  <c r="O50" i="6"/>
  <c r="K25" i="6"/>
  <c r="P25" i="6"/>
  <c r="J38" i="10"/>
  <c r="I38" i="10"/>
  <c r="K38" i="10"/>
  <c r="E11" i="5"/>
  <c r="D5" i="6" l="1"/>
  <c r="N5" i="6" s="1"/>
  <c r="N5" i="13"/>
  <c r="S5" i="13" s="1"/>
  <c r="AP5" i="13" s="1"/>
  <c r="K6" i="10"/>
  <c r="D6" i="6"/>
  <c r="K6" i="6" s="1"/>
  <c r="I6" i="10"/>
  <c r="D6" i="8"/>
  <c r="AP25" i="13"/>
  <c r="AN10" i="13"/>
  <c r="AP10" i="13"/>
  <c r="AN35" i="13"/>
  <c r="AP35" i="13"/>
  <c r="AN37" i="13"/>
  <c r="AP37" i="13"/>
  <c r="AN38" i="13"/>
  <c r="AP38" i="13"/>
  <c r="AN45" i="13"/>
  <c r="AP45" i="13"/>
  <c r="AN33" i="13"/>
  <c r="AP33" i="13"/>
  <c r="AN22" i="13"/>
  <c r="AP22" i="13"/>
  <c r="AN26" i="13"/>
  <c r="AP26" i="13"/>
  <c r="AN46" i="13"/>
  <c r="AP46" i="13"/>
  <c r="AN43" i="13"/>
  <c r="AP43" i="13"/>
  <c r="AN28" i="13"/>
  <c r="AP28" i="13"/>
  <c r="AN17" i="13"/>
  <c r="AP17" i="13"/>
  <c r="AN49" i="13"/>
  <c r="AP49" i="13"/>
  <c r="AN8" i="13"/>
  <c r="AP8" i="13"/>
  <c r="AN19" i="13"/>
  <c r="AP19" i="13"/>
  <c r="AN20" i="13"/>
  <c r="AP20" i="13"/>
  <c r="AN36" i="13"/>
  <c r="AP36" i="13"/>
  <c r="AN9" i="13"/>
  <c r="AP9" i="13"/>
  <c r="AN14" i="13"/>
  <c r="AP14" i="13"/>
  <c r="AN21" i="13"/>
  <c r="AP21" i="13"/>
  <c r="AN11" i="13"/>
  <c r="AP11" i="13"/>
  <c r="AN31" i="13"/>
  <c r="AP31" i="13"/>
  <c r="J18" i="10"/>
  <c r="D40" i="8"/>
  <c r="M40" i="6"/>
  <c r="L40" i="6"/>
  <c r="O40" i="6"/>
  <c r="K40" i="6"/>
  <c r="N40" i="6"/>
  <c r="D40" i="10"/>
  <c r="J40" i="10" s="1"/>
  <c r="D18" i="6"/>
  <c r="P18" i="6" s="1"/>
  <c r="K18" i="10"/>
  <c r="D18" i="8"/>
  <c r="L33" i="6"/>
  <c r="N33" i="6"/>
  <c r="P33" i="6"/>
  <c r="M33" i="6"/>
  <c r="K33" i="6"/>
  <c r="D33" i="10"/>
  <c r="J33" i="10" s="1"/>
  <c r="D33" i="8"/>
  <c r="L11" i="24"/>
  <c r="L91" i="24"/>
  <c r="I14" i="10"/>
  <c r="K14" i="10"/>
  <c r="D14" i="8"/>
  <c r="D14" i="6"/>
  <c r="K14" i="6" s="1"/>
  <c r="AL1" i="13"/>
  <c r="AL43" i="13" s="1"/>
  <c r="D49" i="6"/>
  <c r="M49" i="6" s="1"/>
  <c r="D49" i="10"/>
  <c r="K49" i="10" s="1"/>
  <c r="O9" i="6"/>
  <c r="J26" i="10"/>
  <c r="P9" i="6"/>
  <c r="D9" i="10"/>
  <c r="K9" i="10" s="1"/>
  <c r="K9" i="6"/>
  <c r="L9" i="6"/>
  <c r="N9" i="6"/>
  <c r="D9" i="8"/>
  <c r="AN24" i="13"/>
  <c r="AN32" i="13"/>
  <c r="AN16" i="13"/>
  <c r="AN40" i="13"/>
  <c r="AN7" i="13"/>
  <c r="AN42" i="13"/>
  <c r="AN18" i="13"/>
  <c r="AN30" i="13"/>
  <c r="AN39" i="13"/>
  <c r="AN27" i="13"/>
  <c r="AN47" i="13"/>
  <c r="AN15" i="13"/>
  <c r="AN12" i="13"/>
  <c r="AN29" i="13"/>
  <c r="AN34" i="13"/>
  <c r="AN44" i="13"/>
  <c r="AN51" i="13"/>
  <c r="AN23" i="13"/>
  <c r="K26" i="10"/>
  <c r="K10" i="10"/>
  <c r="I10" i="10"/>
  <c r="D15" i="6"/>
  <c r="M15" i="6" s="1"/>
  <c r="D23" i="8"/>
  <c r="D17" i="10"/>
  <c r="J17" i="10" s="1"/>
  <c r="D17" i="6"/>
  <c r="L17" i="6" s="1"/>
  <c r="D10" i="8"/>
  <c r="D10" i="6"/>
  <c r="K10" i="6" s="1"/>
  <c r="L30" i="6"/>
  <c r="D30" i="8"/>
  <c r="I29" i="10"/>
  <c r="D31" i="10"/>
  <c r="I31" i="10" s="1"/>
  <c r="D15" i="8"/>
  <c r="D34" i="6"/>
  <c r="L34" i="6" s="1"/>
  <c r="D24" i="10"/>
  <c r="K24" i="10" s="1"/>
  <c r="D24" i="6"/>
  <c r="O24" i="6" s="1"/>
  <c r="D29" i="6"/>
  <c r="L29" i="6" s="1"/>
  <c r="D12" i="8"/>
  <c r="J29" i="10"/>
  <c r="D26" i="6"/>
  <c r="M26" i="6" s="1"/>
  <c r="D29" i="8"/>
  <c r="D34" i="10"/>
  <c r="J34" i="10" s="1"/>
  <c r="J39" i="10"/>
  <c r="D26" i="8"/>
  <c r="P30" i="6"/>
  <c r="I39" i="10"/>
  <c r="D47" i="6"/>
  <c r="M47" i="6" s="1"/>
  <c r="D39" i="8"/>
  <c r="K12" i="6"/>
  <c r="D23" i="10"/>
  <c r="K23" i="10" s="1"/>
  <c r="D12" i="10"/>
  <c r="J12" i="10" s="1"/>
  <c r="M30" i="6"/>
  <c r="N30" i="6"/>
  <c r="D39" i="6"/>
  <c r="L39" i="6" s="1"/>
  <c r="K30" i="6"/>
  <c r="D27" i="8"/>
  <c r="D27" i="6"/>
  <c r="P27" i="6" s="1"/>
  <c r="D47" i="10"/>
  <c r="J47" i="10" s="1"/>
  <c r="D30" i="10"/>
  <c r="I30" i="10" s="1"/>
  <c r="D47" i="8"/>
  <c r="D42" i="6"/>
  <c r="K42" i="6" s="1"/>
  <c r="K42" i="10"/>
  <c r="I42" i="10"/>
  <c r="L12" i="24"/>
  <c r="P12" i="6"/>
  <c r="N12" i="6"/>
  <c r="L12" i="6"/>
  <c r="M12" i="6"/>
  <c r="D42" i="8"/>
  <c r="D32" i="10"/>
  <c r="J32" i="10" s="1"/>
  <c r="D32" i="8"/>
  <c r="D16" i="10"/>
  <c r="J16" i="10" s="1"/>
  <c r="L32" i="6"/>
  <c r="D7" i="6"/>
  <c r="K7" i="6" s="1"/>
  <c r="D31" i="6"/>
  <c r="K31" i="6" s="1"/>
  <c r="N32" i="6"/>
  <c r="M32" i="6"/>
  <c r="O32" i="6"/>
  <c r="D16" i="6"/>
  <c r="M16" i="6" s="1"/>
  <c r="D7" i="10"/>
  <c r="J7" i="10" s="1"/>
  <c r="P32" i="6"/>
  <c r="D51" i="10"/>
  <c r="J51" i="10" s="1"/>
  <c r="K41" i="6"/>
  <c r="K41" i="10"/>
  <c r="J41" i="10"/>
  <c r="O51" i="6"/>
  <c r="N41" i="6"/>
  <c r="P41" i="6"/>
  <c r="P51" i="6"/>
  <c r="K51" i="6"/>
  <c r="L51" i="6"/>
  <c r="N51" i="6"/>
  <c r="D51" i="8"/>
  <c r="M41" i="6"/>
  <c r="L41" i="6"/>
  <c r="D44" i="10"/>
  <c r="K44" i="10" s="1"/>
  <c r="D44" i="8"/>
  <c r="J53" i="10"/>
  <c r="M44" i="6"/>
  <c r="K44" i="6"/>
  <c r="P44" i="6"/>
  <c r="L44" i="6"/>
  <c r="N44" i="6"/>
  <c r="K48" i="10"/>
  <c r="D28" i="10"/>
  <c r="J28" i="10" s="1"/>
  <c r="D28" i="6"/>
  <c r="L28" i="6" s="1"/>
  <c r="O48" i="6"/>
  <c r="J25" i="10"/>
  <c r="D36" i="8"/>
  <c r="L48" i="6"/>
  <c r="K48" i="6"/>
  <c r="D22" i="8"/>
  <c r="M48" i="6"/>
  <c r="D22" i="10"/>
  <c r="J22" i="10" s="1"/>
  <c r="N48" i="6"/>
  <c r="I25" i="10"/>
  <c r="D36" i="10"/>
  <c r="J36" i="10" s="1"/>
  <c r="I53" i="10"/>
  <c r="K27" i="10"/>
  <c r="I27" i="10"/>
  <c r="N6" i="6"/>
  <c r="P38" i="6"/>
  <c r="P23" i="6"/>
  <c r="O23" i="6"/>
  <c r="L23" i="6"/>
  <c r="D45" i="10"/>
  <c r="J45" i="10" s="1"/>
  <c r="I48" i="10"/>
  <c r="D45" i="8"/>
  <c r="D35" i="8"/>
  <c r="D43" i="8"/>
  <c r="D43" i="10"/>
  <c r="J43" i="10" s="1"/>
  <c r="D35" i="10"/>
  <c r="J35" i="10" s="1"/>
  <c r="J50" i="10"/>
  <c r="K52" i="10"/>
  <c r="K15" i="10"/>
  <c r="L6" i="6"/>
  <c r="D11" i="10"/>
  <c r="J11" i="10" s="1"/>
  <c r="J15" i="10"/>
  <c r="K38" i="6"/>
  <c r="K50" i="10"/>
  <c r="I52" i="10"/>
  <c r="M23" i="6"/>
  <c r="N23" i="6"/>
  <c r="D11" i="8"/>
  <c r="D37" i="8"/>
  <c r="D21" i="8"/>
  <c r="D21" i="10"/>
  <c r="J21" i="10" s="1"/>
  <c r="M38" i="6"/>
  <c r="D37" i="10"/>
  <c r="I37" i="10" s="1"/>
  <c r="D8" i="10"/>
  <c r="J8" i="10" s="1"/>
  <c r="N38" i="6"/>
  <c r="D8" i="8"/>
  <c r="O38" i="6"/>
  <c r="D19" i="8"/>
  <c r="D19" i="10"/>
  <c r="J19" i="10" s="1"/>
  <c r="M8" i="6"/>
  <c r="D20" i="10"/>
  <c r="I20" i="10" s="1"/>
  <c r="M21" i="6"/>
  <c r="D20" i="8"/>
  <c r="L35" i="6"/>
  <c r="D46" i="8"/>
  <c r="D46" i="10"/>
  <c r="I46" i="10" s="1"/>
  <c r="L19" i="6"/>
  <c r="O11" i="6"/>
  <c r="K43" i="6"/>
  <c r="P43" i="6"/>
  <c r="N8" i="6"/>
  <c r="L46" i="6"/>
  <c r="P35" i="6"/>
  <c r="O19" i="6"/>
  <c r="K8" i="6"/>
  <c r="N46" i="6"/>
  <c r="P8" i="6"/>
  <c r="O8" i="6"/>
  <c r="Q53" i="6"/>
  <c r="K46" i="6"/>
  <c r="N43" i="6"/>
  <c r="O46" i="6"/>
  <c r="L11" i="6"/>
  <c r="L43" i="6"/>
  <c r="O43" i="6"/>
  <c r="N19" i="6"/>
  <c r="K19" i="6"/>
  <c r="N45" i="6"/>
  <c r="P45" i="6"/>
  <c r="Q50" i="6"/>
  <c r="Q25" i="6"/>
  <c r="O35" i="6"/>
  <c r="O45" i="6"/>
  <c r="K21" i="6"/>
  <c r="P46" i="6"/>
  <c r="K11" i="6"/>
  <c r="P21" i="6"/>
  <c r="L21" i="6"/>
  <c r="Q52" i="6"/>
  <c r="N35" i="6"/>
  <c r="L36" i="6"/>
  <c r="K35" i="6"/>
  <c r="O36" i="6"/>
  <c r="M19" i="6"/>
  <c r="K45" i="6"/>
  <c r="L45" i="6"/>
  <c r="M36" i="6"/>
  <c r="K22" i="6"/>
  <c r="N36" i="6"/>
  <c r="O37" i="6"/>
  <c r="P22" i="6"/>
  <c r="K36" i="6"/>
  <c r="O22" i="6"/>
  <c r="K20" i="6"/>
  <c r="N37" i="6"/>
  <c r="K37" i="6"/>
  <c r="D5" i="10"/>
  <c r="O21" i="6"/>
  <c r="O20" i="6"/>
  <c r="P37" i="6"/>
  <c r="N22" i="6"/>
  <c r="M20" i="6"/>
  <c r="L22" i="6"/>
  <c r="L38" i="10"/>
  <c r="L37" i="6"/>
  <c r="L20" i="6"/>
  <c r="M11" i="6"/>
  <c r="N20" i="6"/>
  <c r="N11" i="6"/>
  <c r="G11" i="5"/>
  <c r="E52" i="5"/>
  <c r="K44" i="18" s="1"/>
  <c r="O6" i="6" l="1"/>
  <c r="D5" i="8"/>
  <c r="AN5" i="13"/>
  <c r="P6" i="6"/>
  <c r="M6" i="6"/>
  <c r="L6" i="10"/>
  <c r="G6" i="11" s="1"/>
  <c r="K40" i="10"/>
  <c r="K45" i="18"/>
  <c r="L18" i="10"/>
  <c r="G18" i="11" s="1"/>
  <c r="I40" i="10"/>
  <c r="Q40" i="6"/>
  <c r="E40" i="11" s="1"/>
  <c r="K18" i="6"/>
  <c r="M18" i="6"/>
  <c r="N18" i="6"/>
  <c r="L18" i="6"/>
  <c r="O18" i="6"/>
  <c r="Q33" i="6"/>
  <c r="E33" i="11" s="1"/>
  <c r="I33" i="10"/>
  <c r="K33" i="10"/>
  <c r="AL40" i="13"/>
  <c r="L14" i="10"/>
  <c r="P14" i="13" s="1"/>
  <c r="U14" i="13" s="1"/>
  <c r="AS14" i="13" s="1"/>
  <c r="O14" i="6"/>
  <c r="M14" i="6"/>
  <c r="P14" i="6"/>
  <c r="L14" i="6"/>
  <c r="AL5" i="13"/>
  <c r="AL36" i="13"/>
  <c r="N14" i="6"/>
  <c r="AL50" i="13"/>
  <c r="AL27" i="13"/>
  <c r="AL26" i="13"/>
  <c r="AL34" i="13"/>
  <c r="AL12" i="13"/>
  <c r="AL46" i="13"/>
  <c r="AL6" i="13"/>
  <c r="AL24" i="13"/>
  <c r="AL8" i="13"/>
  <c r="AL42" i="13"/>
  <c r="AL52" i="13"/>
  <c r="AL16" i="13"/>
  <c r="AL41" i="13"/>
  <c r="AL10" i="13"/>
  <c r="AL37" i="13"/>
  <c r="AL29" i="13"/>
  <c r="AL9" i="13"/>
  <c r="AL48" i="13"/>
  <c r="AL25" i="13"/>
  <c r="AL14" i="13"/>
  <c r="AL19" i="13"/>
  <c r="AL31" i="13"/>
  <c r="AL35" i="13"/>
  <c r="AL15" i="13"/>
  <c r="AL39" i="13"/>
  <c r="AL28" i="13"/>
  <c r="AL22" i="13"/>
  <c r="AL30" i="13"/>
  <c r="AL33" i="13"/>
  <c r="AL49" i="13"/>
  <c r="AL20" i="13"/>
  <c r="AL23" i="13"/>
  <c r="AL44" i="13"/>
  <c r="AL21" i="13"/>
  <c r="AL18" i="13"/>
  <c r="AL38" i="13"/>
  <c r="AL11" i="13"/>
  <c r="AL17" i="13"/>
  <c r="AL51" i="13"/>
  <c r="AL45" i="13"/>
  <c r="AL47" i="13"/>
  <c r="AL53" i="13"/>
  <c r="AL7" i="13"/>
  <c r="AL32" i="13"/>
  <c r="K49" i="6"/>
  <c r="N49" i="6"/>
  <c r="P49" i="6"/>
  <c r="O49" i="6"/>
  <c r="L49" i="6"/>
  <c r="L15" i="6"/>
  <c r="J9" i="10"/>
  <c r="I9" i="10"/>
  <c r="J49" i="10"/>
  <c r="I49" i="10"/>
  <c r="L10" i="10"/>
  <c r="G10" i="11" s="1"/>
  <c r="L26" i="10"/>
  <c r="G26" i="11" s="1"/>
  <c r="Q9" i="6"/>
  <c r="E9" i="11" s="1"/>
  <c r="O15" i="6"/>
  <c r="O17" i="6"/>
  <c r="P15" i="6"/>
  <c r="K15" i="6"/>
  <c r="N15" i="6"/>
  <c r="N27" i="6"/>
  <c r="K17" i="10"/>
  <c r="M17" i="6"/>
  <c r="K17" i="6"/>
  <c r="N10" i="6"/>
  <c r="M10" i="6"/>
  <c r="N17" i="6"/>
  <c r="L29" i="10"/>
  <c r="G29" i="11" s="1"/>
  <c r="P17" i="6"/>
  <c r="M34" i="6"/>
  <c r="K34" i="6"/>
  <c r="L10" i="6"/>
  <c r="P10" i="6"/>
  <c r="K34" i="10"/>
  <c r="K26" i="6"/>
  <c r="O10" i="6"/>
  <c r="I17" i="10"/>
  <c r="K27" i="6"/>
  <c r="I24" i="10"/>
  <c r="J31" i="10"/>
  <c r="I12" i="10"/>
  <c r="K12" i="10"/>
  <c r="I34" i="10"/>
  <c r="L24" i="6"/>
  <c r="P34" i="6"/>
  <c r="K24" i="6"/>
  <c r="O34" i="6"/>
  <c r="N34" i="6"/>
  <c r="M24" i="6"/>
  <c r="N16" i="6"/>
  <c r="L39" i="10"/>
  <c r="G39" i="11" s="1"/>
  <c r="M29" i="6"/>
  <c r="O29" i="6"/>
  <c r="N24" i="6"/>
  <c r="P24" i="6"/>
  <c r="L27" i="6"/>
  <c r="Q30" i="6"/>
  <c r="E30" i="11" s="1"/>
  <c r="K39" i="6"/>
  <c r="P26" i="6"/>
  <c r="K31" i="10"/>
  <c r="M27" i="6"/>
  <c r="O27" i="6"/>
  <c r="L42" i="10"/>
  <c r="G42" i="11" s="1"/>
  <c r="K47" i="6"/>
  <c r="J24" i="10"/>
  <c r="L26" i="6"/>
  <c r="N47" i="6"/>
  <c r="N29" i="6"/>
  <c r="O26" i="6"/>
  <c r="N26" i="6"/>
  <c r="K29" i="6"/>
  <c r="P29" i="6"/>
  <c r="O39" i="6"/>
  <c r="L47" i="6"/>
  <c r="O42" i="6"/>
  <c r="N39" i="6"/>
  <c r="P47" i="6"/>
  <c r="P39" i="6"/>
  <c r="M39" i="6"/>
  <c r="N42" i="6"/>
  <c r="O47" i="6"/>
  <c r="I51" i="10"/>
  <c r="I47" i="10"/>
  <c r="K51" i="10"/>
  <c r="I23" i="10"/>
  <c r="L7" i="6"/>
  <c r="K47" i="10"/>
  <c r="N7" i="6"/>
  <c r="J23" i="10"/>
  <c r="I16" i="10"/>
  <c r="K16" i="10"/>
  <c r="I7" i="10"/>
  <c r="Q12" i="6"/>
  <c r="Q12" i="13" s="1"/>
  <c r="V12" i="13" s="1"/>
  <c r="AQ12" i="13" s="1"/>
  <c r="K30" i="10"/>
  <c r="J30" i="10"/>
  <c r="K7" i="10"/>
  <c r="M31" i="6"/>
  <c r="P42" i="6"/>
  <c r="M42" i="6"/>
  <c r="Q43" i="8"/>
  <c r="L42" i="6"/>
  <c r="I32" i="10"/>
  <c r="K32" i="10"/>
  <c r="O31" i="6"/>
  <c r="O16" i="6"/>
  <c r="P16" i="6"/>
  <c r="N31" i="6"/>
  <c r="M7" i="6"/>
  <c r="K16" i="6"/>
  <c r="L16" i="6"/>
  <c r="O7" i="6"/>
  <c r="Q32" i="6"/>
  <c r="Q32" i="13" s="1"/>
  <c r="V32" i="13" s="1"/>
  <c r="AQ32" i="13" s="1"/>
  <c r="L31" i="6"/>
  <c r="P7" i="6"/>
  <c r="D13" i="11"/>
  <c r="D54" i="11" s="1"/>
  <c r="L43" i="18" s="1"/>
  <c r="N13" i="13"/>
  <c r="P31" i="6"/>
  <c r="L41" i="10"/>
  <c r="G41" i="11" s="1"/>
  <c r="Q51" i="6"/>
  <c r="Q51" i="13" s="1"/>
  <c r="V51" i="13" s="1"/>
  <c r="AQ51" i="13" s="1"/>
  <c r="Q41" i="6"/>
  <c r="Q41" i="13" s="1"/>
  <c r="V41" i="13" s="1"/>
  <c r="AQ41" i="13" s="1"/>
  <c r="L53" i="10"/>
  <c r="G53" i="11" s="1"/>
  <c r="J20" i="10"/>
  <c r="J44" i="10"/>
  <c r="L48" i="10"/>
  <c r="P48" i="13" s="1"/>
  <c r="U48" i="13" s="1"/>
  <c r="AS48" i="13" s="1"/>
  <c r="M28" i="6"/>
  <c r="K28" i="10"/>
  <c r="I28" i="10"/>
  <c r="I44" i="10"/>
  <c r="K28" i="6"/>
  <c r="P28" i="6"/>
  <c r="O28" i="6"/>
  <c r="Q44" i="6"/>
  <c r="Q44" i="13" s="1"/>
  <c r="V44" i="13" s="1"/>
  <c r="AQ44" i="13" s="1"/>
  <c r="N28" i="6"/>
  <c r="K35" i="10"/>
  <c r="Q48" i="6"/>
  <c r="Q48" i="13" s="1"/>
  <c r="V48" i="13" s="1"/>
  <c r="AQ48" i="13" s="1"/>
  <c r="L25" i="10"/>
  <c r="G25" i="11" s="1"/>
  <c r="K11" i="10"/>
  <c r="K36" i="10"/>
  <c r="I36" i="10"/>
  <c r="L15" i="10"/>
  <c r="G15" i="11" s="1"/>
  <c r="K22" i="10"/>
  <c r="I22" i="10"/>
  <c r="I45" i="10"/>
  <c r="I35" i="10"/>
  <c r="L27" i="10"/>
  <c r="G27" i="11" s="1"/>
  <c r="K8" i="10"/>
  <c r="K37" i="10"/>
  <c r="L52" i="10"/>
  <c r="G52" i="11" s="1"/>
  <c r="I11" i="10"/>
  <c r="Q23" i="6"/>
  <c r="Q23" i="13" s="1"/>
  <c r="V23" i="13" s="1"/>
  <c r="AQ23" i="13" s="1"/>
  <c r="K45" i="10"/>
  <c r="L50" i="10"/>
  <c r="G50" i="11" s="1"/>
  <c r="I43" i="10"/>
  <c r="I21" i="10"/>
  <c r="K43" i="10"/>
  <c r="J46" i="10"/>
  <c r="Q38" i="6"/>
  <c r="Q38" i="13" s="1"/>
  <c r="V38" i="13" s="1"/>
  <c r="AQ38" i="13" s="1"/>
  <c r="K21" i="10"/>
  <c r="I8" i="10"/>
  <c r="J37" i="10"/>
  <c r="K19" i="10"/>
  <c r="K20" i="10"/>
  <c r="E25" i="11"/>
  <c r="Q25" i="13"/>
  <c r="V25" i="13" s="1"/>
  <c r="AQ25" i="13" s="1"/>
  <c r="G38" i="11"/>
  <c r="P38" i="13"/>
  <c r="U38" i="13" s="1"/>
  <c r="AS38" i="13" s="1"/>
  <c r="E50" i="11"/>
  <c r="Q50" i="13"/>
  <c r="V50" i="13" s="1"/>
  <c r="AQ50" i="13" s="1"/>
  <c r="I19" i="10"/>
  <c r="E52" i="11"/>
  <c r="Q52" i="13"/>
  <c r="V52" i="13" s="1"/>
  <c r="AQ52" i="13" s="1"/>
  <c r="E53" i="11"/>
  <c r="Q53" i="13"/>
  <c r="V53" i="13" s="1"/>
  <c r="AQ53" i="13" s="1"/>
  <c r="K46" i="10"/>
  <c r="Q46" i="6"/>
  <c r="Q43" i="6"/>
  <c r="Q8" i="6"/>
  <c r="Q35" i="6"/>
  <c r="Q20" i="6"/>
  <c r="Q21" i="6"/>
  <c r="Q22" i="6"/>
  <c r="Q37" i="6"/>
  <c r="Q19" i="6"/>
  <c r="Q45" i="6"/>
  <c r="Q11" i="6"/>
  <c r="Q36" i="6"/>
  <c r="K5" i="6"/>
  <c r="L5" i="6"/>
  <c r="O5" i="6"/>
  <c r="M5" i="6"/>
  <c r="P5" i="6"/>
  <c r="K5" i="10"/>
  <c r="J5" i="10"/>
  <c r="I5" i="10"/>
  <c r="G52" i="5"/>
  <c r="Q6" i="6" l="1"/>
  <c r="E6" i="11" s="1"/>
  <c r="P6" i="13"/>
  <c r="U6" i="13" s="1"/>
  <c r="AS6" i="13" s="1"/>
  <c r="L40" i="10"/>
  <c r="P40" i="13" s="1"/>
  <c r="U40" i="13" s="1"/>
  <c r="AS40" i="13" s="1"/>
  <c r="P18" i="13"/>
  <c r="U18" i="13" s="1"/>
  <c r="AS18" i="13" s="1"/>
  <c r="Q40" i="13"/>
  <c r="V40" i="13" s="1"/>
  <c r="AQ40" i="13" s="1"/>
  <c r="Q18" i="6"/>
  <c r="E18" i="11" s="1"/>
  <c r="Q33" i="13"/>
  <c r="V33" i="13" s="1"/>
  <c r="AQ33" i="13" s="1"/>
  <c r="L33" i="10"/>
  <c r="G33" i="11" s="1"/>
  <c r="G14" i="11"/>
  <c r="Q14" i="6"/>
  <c r="E14" i="11" s="1"/>
  <c r="Q49" i="6"/>
  <c r="E49" i="11" s="1"/>
  <c r="L9" i="10"/>
  <c r="G9" i="11" s="1"/>
  <c r="L49" i="10"/>
  <c r="G49" i="11" s="1"/>
  <c r="Q9" i="13"/>
  <c r="V9" i="13" s="1"/>
  <c r="AQ9" i="13" s="1"/>
  <c r="P26" i="13"/>
  <c r="U26" i="13" s="1"/>
  <c r="AS26" i="13" s="1"/>
  <c r="P10" i="13"/>
  <c r="U10" i="13" s="1"/>
  <c r="AS10" i="13" s="1"/>
  <c r="Q15" i="6"/>
  <c r="E15" i="11" s="1"/>
  <c r="L17" i="10"/>
  <c r="G17" i="11" s="1"/>
  <c r="Q17" i="6"/>
  <c r="E17" i="11" s="1"/>
  <c r="P29" i="13"/>
  <c r="U29" i="13" s="1"/>
  <c r="AS29" i="13" s="1"/>
  <c r="H52" i="5"/>
  <c r="K46" i="18" s="1"/>
  <c r="L24" i="10"/>
  <c r="G24" i="11" s="1"/>
  <c r="L31" i="10"/>
  <c r="G31" i="11" s="1"/>
  <c r="Q10" i="6"/>
  <c r="Q10" i="13" s="1"/>
  <c r="V10" i="13" s="1"/>
  <c r="AQ10" i="13" s="1"/>
  <c r="L12" i="10"/>
  <c r="P12" i="13" s="1"/>
  <c r="U12" i="13" s="1"/>
  <c r="AS12" i="13" s="1"/>
  <c r="P39" i="13"/>
  <c r="U39" i="13" s="1"/>
  <c r="AS39" i="13" s="1"/>
  <c r="L34" i="10"/>
  <c r="P34" i="13" s="1"/>
  <c r="U34" i="13" s="1"/>
  <c r="AS34" i="13" s="1"/>
  <c r="M20" i="8"/>
  <c r="M5" i="8"/>
  <c r="E12" i="11"/>
  <c r="M21" i="8"/>
  <c r="L8" i="8"/>
  <c r="L43" i="8"/>
  <c r="J44" i="8"/>
  <c r="J19" i="8"/>
  <c r="L22" i="8"/>
  <c r="M37" i="8"/>
  <c r="Q19" i="8"/>
  <c r="K20" i="8"/>
  <c r="M22" i="8"/>
  <c r="N46" i="8"/>
  <c r="K8" i="8"/>
  <c r="N11" i="8"/>
  <c r="M43" i="8"/>
  <c r="Q45" i="8"/>
  <c r="M11" i="8"/>
  <c r="J45" i="8"/>
  <c r="K35" i="8"/>
  <c r="K36" i="8"/>
  <c r="Q36" i="8"/>
  <c r="Q27" i="6"/>
  <c r="Q27" i="13" s="1"/>
  <c r="V27" i="13" s="1"/>
  <c r="AQ27" i="13" s="1"/>
  <c r="Q34" i="6"/>
  <c r="E34" i="11" s="1"/>
  <c r="L30" i="10"/>
  <c r="G30" i="11" s="1"/>
  <c r="Q24" i="6"/>
  <c r="E24" i="11" s="1"/>
  <c r="Q11" i="8"/>
  <c r="L51" i="8"/>
  <c r="Q20" i="8"/>
  <c r="J11" i="8"/>
  <c r="N21" i="8"/>
  <c r="Q5" i="8"/>
  <c r="M46" i="8"/>
  <c r="M35" i="8"/>
  <c r="N36" i="8"/>
  <c r="K51" i="8"/>
  <c r="Q30" i="13"/>
  <c r="V30" i="13" s="1"/>
  <c r="AQ30" i="13" s="1"/>
  <c r="N19" i="8"/>
  <c r="Q8" i="8"/>
  <c r="L45" i="8"/>
  <c r="L5" i="8"/>
  <c r="K37" i="8"/>
  <c r="Q21" i="8"/>
  <c r="J21" i="8"/>
  <c r="M44" i="8"/>
  <c r="P42" i="13"/>
  <c r="U42" i="13" s="1"/>
  <c r="AS42" i="13" s="1"/>
  <c r="L51" i="10"/>
  <c r="P51" i="13" s="1"/>
  <c r="U51" i="13" s="1"/>
  <c r="AS51" i="13" s="1"/>
  <c r="L23" i="10"/>
  <c r="P23" i="13" s="1"/>
  <c r="U23" i="13" s="1"/>
  <c r="AS23" i="13" s="1"/>
  <c r="L21" i="8"/>
  <c r="K11" i="8"/>
  <c r="M8" i="8"/>
  <c r="M45" i="8"/>
  <c r="N8" i="8"/>
  <c r="K43" i="8"/>
  <c r="Q22" i="8"/>
  <c r="N35" i="8"/>
  <c r="N44" i="8"/>
  <c r="L7" i="10"/>
  <c r="P7" i="13" s="1"/>
  <c r="U7" i="13" s="1"/>
  <c r="AS7" i="13" s="1"/>
  <c r="K44" i="8"/>
  <c r="Q39" i="6"/>
  <c r="E39" i="11" s="1"/>
  <c r="Q29" i="6"/>
  <c r="E29" i="11" s="1"/>
  <c r="Q47" i="6"/>
  <c r="Q47" i="13" s="1"/>
  <c r="V47" i="13" s="1"/>
  <c r="AQ47" i="13" s="1"/>
  <c r="L37" i="8"/>
  <c r="J46" i="8"/>
  <c r="L46" i="8"/>
  <c r="Q46" i="8"/>
  <c r="N43" i="8"/>
  <c r="K5" i="8"/>
  <c r="K22" i="8"/>
  <c r="J36" i="8"/>
  <c r="Q26" i="6"/>
  <c r="E26" i="11" s="1"/>
  <c r="L47" i="10"/>
  <c r="G47" i="11" s="1"/>
  <c r="N5" i="8"/>
  <c r="J20" i="8"/>
  <c r="L19" i="8"/>
  <c r="N20" i="8"/>
  <c r="Q35" i="8"/>
  <c r="N45" i="8"/>
  <c r="M19" i="8"/>
  <c r="J43" i="8"/>
  <c r="J22" i="8"/>
  <c r="J35" i="8"/>
  <c r="L36" i="8"/>
  <c r="Q42" i="6"/>
  <c r="Q42" i="13" s="1"/>
  <c r="V42" i="13" s="1"/>
  <c r="AQ42" i="13" s="1"/>
  <c r="M51" i="8"/>
  <c r="L11" i="8"/>
  <c r="L16" i="10"/>
  <c r="P16" i="13" s="1"/>
  <c r="U16" i="13" s="1"/>
  <c r="AS16" i="13" s="1"/>
  <c r="L32" i="10"/>
  <c r="P32" i="13" s="1"/>
  <c r="U32" i="13" s="1"/>
  <c r="AS32" i="13" s="1"/>
  <c r="E32" i="11"/>
  <c r="L32" i="8"/>
  <c r="N22" i="8"/>
  <c r="M52" i="8"/>
  <c r="J50" i="8"/>
  <c r="M32" i="8"/>
  <c r="N6" i="8"/>
  <c r="K9" i="8"/>
  <c r="J32" i="8"/>
  <c r="J18" i="8"/>
  <c r="K26" i="8"/>
  <c r="J49" i="8"/>
  <c r="Q28" i="8"/>
  <c r="L31" i="8"/>
  <c r="J53" i="8"/>
  <c r="L41" i="8"/>
  <c r="Q29" i="8"/>
  <c r="L40" i="8"/>
  <c r="J6" i="8"/>
  <c r="K16" i="8"/>
  <c r="J27" i="8"/>
  <c r="K52" i="8"/>
  <c r="M50" i="8"/>
  <c r="Q41" i="8"/>
  <c r="N24" i="8"/>
  <c r="M23" i="8"/>
  <c r="M49" i="8"/>
  <c r="M27" i="8"/>
  <c r="Q42" i="8"/>
  <c r="Q50" i="8"/>
  <c r="N7" i="8"/>
  <c r="N34" i="8"/>
  <c r="J40" i="8"/>
  <c r="J34" i="8"/>
  <c r="N10" i="8"/>
  <c r="N17" i="8"/>
  <c r="M28" i="8"/>
  <c r="K24" i="8"/>
  <c r="L48" i="8"/>
  <c r="K32" i="8"/>
  <c r="J52" i="8"/>
  <c r="N38" i="8"/>
  <c r="Q10" i="8"/>
  <c r="Q25" i="8"/>
  <c r="Q40" i="8"/>
  <c r="M33" i="8"/>
  <c r="L33" i="8"/>
  <c r="K17" i="8"/>
  <c r="K34" i="8"/>
  <c r="L39" i="8"/>
  <c r="Q52" i="8"/>
  <c r="J14" i="8"/>
  <c r="N27" i="8"/>
  <c r="M24" i="8"/>
  <c r="Q7" i="8"/>
  <c r="M41" i="8"/>
  <c r="Q49" i="8"/>
  <c r="J24" i="8"/>
  <c r="L24" i="8"/>
  <c r="N16" i="8"/>
  <c r="L10" i="8"/>
  <c r="K25" i="8"/>
  <c r="J48" i="8"/>
  <c r="N9" i="8"/>
  <c r="K50" i="8"/>
  <c r="N53" i="8"/>
  <c r="N30" i="8"/>
  <c r="L47" i="8"/>
  <c r="Q12" i="8"/>
  <c r="K40" i="8"/>
  <c r="N18" i="8"/>
  <c r="K7" i="8"/>
  <c r="J30" i="8"/>
  <c r="J7" i="8"/>
  <c r="N47" i="8"/>
  <c r="L53" i="8"/>
  <c r="M18" i="8"/>
  <c r="Q16" i="8"/>
  <c r="Q33" i="8"/>
  <c r="Q34" i="8"/>
  <c r="M47" i="8"/>
  <c r="Q17" i="8"/>
  <c r="N29" i="8"/>
  <c r="Q9" i="8"/>
  <c r="L28" i="8"/>
  <c r="L15" i="8"/>
  <c r="J47" i="8"/>
  <c r="L38" i="8"/>
  <c r="M40" i="8"/>
  <c r="M34" i="8"/>
  <c r="K18" i="8"/>
  <c r="M26" i="8"/>
  <c r="K53" i="8"/>
  <c r="M53" i="8"/>
  <c r="L18" i="8"/>
  <c r="K33" i="8"/>
  <c r="M10" i="8"/>
  <c r="N23" i="8"/>
  <c r="J9" i="8"/>
  <c r="L52" i="8"/>
  <c r="N39" i="8"/>
  <c r="K6" i="8"/>
  <c r="N42" i="8"/>
  <c r="K48" i="8"/>
  <c r="N31" i="8"/>
  <c r="K15" i="8"/>
  <c r="J38" i="8"/>
  <c r="J23" i="8"/>
  <c r="L30" i="8"/>
  <c r="M12" i="8"/>
  <c r="N26" i="8"/>
  <c r="Q47" i="8"/>
  <c r="M16" i="8"/>
  <c r="Q32" i="8"/>
  <c r="Q31" i="8"/>
  <c r="M39" i="8"/>
  <c r="M15" i="8"/>
  <c r="Q48" i="8"/>
  <c r="Q15" i="8"/>
  <c r="K10" i="8"/>
  <c r="K38" i="8"/>
  <c r="K39" i="8"/>
  <c r="L29" i="8"/>
  <c r="M17" i="8"/>
  <c r="N12" i="8"/>
  <c r="L50" i="8"/>
  <c r="L23" i="8"/>
  <c r="K12" i="8"/>
  <c r="Q14" i="8"/>
  <c r="L26" i="8"/>
  <c r="K41" i="8"/>
  <c r="N25" i="8"/>
  <c r="N52" i="8"/>
  <c r="J17" i="8"/>
  <c r="J10" i="8"/>
  <c r="N48" i="8"/>
  <c r="K14" i="8"/>
  <c r="N50" i="8"/>
  <c r="J15" i="8"/>
  <c r="N41" i="8"/>
  <c r="K23" i="8"/>
  <c r="Q53" i="8"/>
  <c r="J39" i="8"/>
  <c r="J28" i="8"/>
  <c r="N14" i="8"/>
  <c r="K28" i="8"/>
  <c r="M38" i="8"/>
  <c r="Q39" i="8"/>
  <c r="M29" i="8"/>
  <c r="Q6" i="8"/>
  <c r="Q23" i="8"/>
  <c r="Q38" i="8"/>
  <c r="M31" i="8"/>
  <c r="L42" i="8"/>
  <c r="J33" i="8"/>
  <c r="L17" i="8"/>
  <c r="L25" i="8"/>
  <c r="N32" i="8"/>
  <c r="Q24" i="8"/>
  <c r="M7" i="8"/>
  <c r="K27" i="8"/>
  <c r="J29" i="8"/>
  <c r="L49" i="8"/>
  <c r="M9" i="8"/>
  <c r="M48" i="8"/>
  <c r="L34" i="8"/>
  <c r="K49" i="8"/>
  <c r="L12" i="8"/>
  <c r="L27" i="8"/>
  <c r="J25" i="8"/>
  <c r="J26" i="8"/>
  <c r="L7" i="8"/>
  <c r="K30" i="8"/>
  <c r="L9" i="8"/>
  <c r="J31" i="8"/>
  <c r="N49" i="8"/>
  <c r="K31" i="8"/>
  <c r="N33" i="8"/>
  <c r="Q27" i="8"/>
  <c r="L14" i="8"/>
  <c r="L6" i="8"/>
  <c r="K29" i="8"/>
  <c r="N15" i="8"/>
  <c r="M30" i="8"/>
  <c r="Q26" i="8"/>
  <c r="M25" i="8"/>
  <c r="M14" i="8"/>
  <c r="N40" i="8"/>
  <c r="J16" i="8"/>
  <c r="J42" i="8"/>
  <c r="L16" i="8"/>
  <c r="J12" i="8"/>
  <c r="N28" i="8"/>
  <c r="M6" i="8"/>
  <c r="J41" i="8"/>
  <c r="K47" i="8"/>
  <c r="Q18" i="8"/>
  <c r="Q30" i="8"/>
  <c r="K19" i="8"/>
  <c r="N37" i="8"/>
  <c r="Q37" i="8"/>
  <c r="J51" i="8"/>
  <c r="K42" i="8"/>
  <c r="J37" i="8"/>
  <c r="K21" i="8"/>
  <c r="M42" i="8"/>
  <c r="Q51" i="8"/>
  <c r="L20" i="8"/>
  <c r="J8" i="8"/>
  <c r="L35" i="8"/>
  <c r="K46" i="8"/>
  <c r="K45" i="8"/>
  <c r="L44" i="8"/>
  <c r="Q44" i="8"/>
  <c r="N51" i="8"/>
  <c r="M36" i="8"/>
  <c r="J5" i="8"/>
  <c r="Q16" i="6"/>
  <c r="E16" i="11" s="1"/>
  <c r="Q31" i="6"/>
  <c r="Q31" i="13" s="1"/>
  <c r="V31" i="13" s="1"/>
  <c r="AQ31" i="13" s="1"/>
  <c r="Q7" i="6"/>
  <c r="E7" i="11" s="1"/>
  <c r="S13" i="13"/>
  <c r="AP13" i="13" s="1"/>
  <c r="N54" i="13"/>
  <c r="H13" i="23" s="1"/>
  <c r="E51" i="11"/>
  <c r="G48" i="11"/>
  <c r="P41" i="13"/>
  <c r="U41" i="13" s="1"/>
  <c r="AS41" i="13" s="1"/>
  <c r="E41" i="11"/>
  <c r="P53" i="13"/>
  <c r="U53" i="13" s="1"/>
  <c r="AS53" i="13" s="1"/>
  <c r="E38" i="11"/>
  <c r="E44" i="11"/>
  <c r="L20" i="10"/>
  <c r="G20" i="11" s="1"/>
  <c r="L44" i="10"/>
  <c r="G44" i="11" s="1"/>
  <c r="P25" i="13"/>
  <c r="U25" i="13" s="1"/>
  <c r="AS25" i="13" s="1"/>
  <c r="L35" i="10"/>
  <c r="G35" i="11" s="1"/>
  <c r="L28" i="10"/>
  <c r="P28" i="13" s="1"/>
  <c r="U28" i="13" s="1"/>
  <c r="AS28" i="13" s="1"/>
  <c r="P15" i="13"/>
  <c r="U15" i="13" s="1"/>
  <c r="AS15" i="13" s="1"/>
  <c r="Q28" i="6"/>
  <c r="E28" i="11" s="1"/>
  <c r="P50" i="13"/>
  <c r="U50" i="13" s="1"/>
  <c r="AS50" i="13" s="1"/>
  <c r="L46" i="10"/>
  <c r="P46" i="13" s="1"/>
  <c r="U46" i="13" s="1"/>
  <c r="AS46" i="13" s="1"/>
  <c r="L8" i="10"/>
  <c r="P8" i="13" s="1"/>
  <c r="U8" i="13" s="1"/>
  <c r="AS8" i="13" s="1"/>
  <c r="E48" i="11"/>
  <c r="L21" i="10"/>
  <c r="P21" i="13" s="1"/>
  <c r="U21" i="13" s="1"/>
  <c r="AS21" i="13" s="1"/>
  <c r="L22" i="10"/>
  <c r="G22" i="11" s="1"/>
  <c r="L36" i="10"/>
  <c r="G36" i="11" s="1"/>
  <c r="L45" i="10"/>
  <c r="P45" i="13" s="1"/>
  <c r="U45" i="13" s="1"/>
  <c r="AS45" i="13" s="1"/>
  <c r="L11" i="10"/>
  <c r="P11" i="13" s="1"/>
  <c r="U11" i="13" s="1"/>
  <c r="AS11" i="13" s="1"/>
  <c r="E23" i="11"/>
  <c r="L43" i="10"/>
  <c r="P43" i="13" s="1"/>
  <c r="U43" i="13" s="1"/>
  <c r="AS43" i="13" s="1"/>
  <c r="P52" i="13"/>
  <c r="U52" i="13" s="1"/>
  <c r="AS52" i="13" s="1"/>
  <c r="P27" i="13"/>
  <c r="U27" i="13" s="1"/>
  <c r="AS27" i="13" s="1"/>
  <c r="L37" i="10"/>
  <c r="P37" i="13" s="1"/>
  <c r="U37" i="13" s="1"/>
  <c r="AS37" i="13" s="1"/>
  <c r="L19" i="10"/>
  <c r="P19" i="13" s="1"/>
  <c r="U19" i="13" s="1"/>
  <c r="AS19" i="13" s="1"/>
  <c r="E36" i="11"/>
  <c r="Q36" i="13"/>
  <c r="V36" i="13" s="1"/>
  <c r="AQ36" i="13" s="1"/>
  <c r="E35" i="11"/>
  <c r="Q35" i="13"/>
  <c r="V35" i="13" s="1"/>
  <c r="AQ35" i="13" s="1"/>
  <c r="E20" i="11"/>
  <c r="Q20" i="13"/>
  <c r="V20" i="13" s="1"/>
  <c r="AQ20" i="13" s="1"/>
  <c r="E11" i="11"/>
  <c r="Q11" i="13"/>
  <c r="V11" i="13" s="1"/>
  <c r="AQ11" i="13" s="1"/>
  <c r="E8" i="11"/>
  <c r="Q8" i="13"/>
  <c r="V8" i="13" s="1"/>
  <c r="AQ8" i="13" s="1"/>
  <c r="E21" i="11"/>
  <c r="Q21" i="13"/>
  <c r="V21" i="13" s="1"/>
  <c r="AQ21" i="13" s="1"/>
  <c r="E45" i="11"/>
  <c r="Q45" i="13"/>
  <c r="V45" i="13" s="1"/>
  <c r="AQ45" i="13" s="1"/>
  <c r="E43" i="11"/>
  <c r="Q43" i="13"/>
  <c r="V43" i="13" s="1"/>
  <c r="AQ43" i="13" s="1"/>
  <c r="E19" i="11"/>
  <c r="Q19" i="13"/>
  <c r="V19" i="13" s="1"/>
  <c r="AQ19" i="13" s="1"/>
  <c r="E46" i="11"/>
  <c r="Q46" i="13"/>
  <c r="V46" i="13" s="1"/>
  <c r="AQ46" i="13" s="1"/>
  <c r="E37" i="11"/>
  <c r="Q37" i="13"/>
  <c r="V37" i="13" s="1"/>
  <c r="AQ37" i="13" s="1"/>
  <c r="E22" i="11"/>
  <c r="Q22" i="13"/>
  <c r="V22" i="13" s="1"/>
  <c r="AQ22" i="13" s="1"/>
  <c r="Q5" i="6"/>
  <c r="L5" i="10"/>
  <c r="D13" i="6"/>
  <c r="L13" i="6" s="1"/>
  <c r="L54" i="6" s="1"/>
  <c r="D13" i="10"/>
  <c r="D13" i="8"/>
  <c r="Q6" i="13" l="1"/>
  <c r="V6" i="13" s="1"/>
  <c r="AQ6" i="13" s="1"/>
  <c r="G40" i="11"/>
  <c r="Q18" i="13"/>
  <c r="V18" i="13" s="1"/>
  <c r="AQ18" i="13" s="1"/>
  <c r="P33" i="13"/>
  <c r="U33" i="13" s="1"/>
  <c r="AS33" i="13" s="1"/>
  <c r="Q14" i="13"/>
  <c r="V14" i="13" s="1"/>
  <c r="AQ14" i="13" s="1"/>
  <c r="Q49" i="13"/>
  <c r="V49" i="13" s="1"/>
  <c r="AQ49" i="13" s="1"/>
  <c r="P9" i="13"/>
  <c r="U9" i="13" s="1"/>
  <c r="AS9" i="13" s="1"/>
  <c r="Q15" i="13"/>
  <c r="V15" i="13" s="1"/>
  <c r="AQ15" i="13" s="1"/>
  <c r="P49" i="13"/>
  <c r="U49" i="13" s="1"/>
  <c r="AS49" i="13" s="1"/>
  <c r="E10" i="11"/>
  <c r="Q17" i="13"/>
  <c r="V17" i="13" s="1"/>
  <c r="AQ17" i="13" s="1"/>
  <c r="S54" i="13"/>
  <c r="AL13" i="13"/>
  <c r="AL54" i="13" s="1"/>
  <c r="AN13" i="13"/>
  <c r="AN54" i="13" s="1"/>
  <c r="P31" i="13"/>
  <c r="U31" i="13" s="1"/>
  <c r="AS31" i="13" s="1"/>
  <c r="P24" i="13"/>
  <c r="U24" i="13" s="1"/>
  <c r="AS24" i="13" s="1"/>
  <c r="P17" i="13"/>
  <c r="U17" i="13" s="1"/>
  <c r="AS17" i="13" s="1"/>
  <c r="Q26" i="13"/>
  <c r="V26" i="13" s="1"/>
  <c r="AQ26" i="13" s="1"/>
  <c r="G34" i="11"/>
  <c r="P47" i="13"/>
  <c r="U47" i="13" s="1"/>
  <c r="AS47" i="13" s="1"/>
  <c r="Q34" i="13"/>
  <c r="V34" i="13" s="1"/>
  <c r="AQ34" i="13" s="1"/>
  <c r="G23" i="11"/>
  <c r="P30" i="13"/>
  <c r="U30" i="13" s="1"/>
  <c r="AS30" i="13" s="1"/>
  <c r="G12" i="11"/>
  <c r="Q29" i="13"/>
  <c r="V29" i="13" s="1"/>
  <c r="AQ29" i="13" s="1"/>
  <c r="G51" i="11"/>
  <c r="E27" i="11"/>
  <c r="E47" i="11"/>
  <c r="O11" i="8"/>
  <c r="R11" i="8" s="1"/>
  <c r="R11" i="13" s="1"/>
  <c r="W11" i="13" s="1"/>
  <c r="AT11" i="13" s="1"/>
  <c r="O8" i="8"/>
  <c r="R8" i="8" s="1"/>
  <c r="R8" i="13" s="1"/>
  <c r="W8" i="13" s="1"/>
  <c r="AT8" i="13" s="1"/>
  <c r="O21" i="8"/>
  <c r="R21" i="8" s="1"/>
  <c r="H21" i="11" s="1"/>
  <c r="Q24" i="13"/>
  <c r="V24" i="13" s="1"/>
  <c r="AQ24" i="13" s="1"/>
  <c r="O43" i="8"/>
  <c r="R43" i="8" s="1"/>
  <c r="R43" i="13" s="1"/>
  <c r="W43" i="13" s="1"/>
  <c r="AT43" i="13" s="1"/>
  <c r="O36" i="8"/>
  <c r="R36" i="8" s="1"/>
  <c r="H36" i="11" s="1"/>
  <c r="G16" i="11"/>
  <c r="O45" i="8"/>
  <c r="R45" i="8" s="1"/>
  <c r="R45" i="13" s="1"/>
  <c r="W45" i="13" s="1"/>
  <c r="AT45" i="13" s="1"/>
  <c r="O5" i="8"/>
  <c r="R5" i="8" s="1"/>
  <c r="R5" i="13" s="1"/>
  <c r="W5" i="13" s="1"/>
  <c r="AT5" i="13" s="1"/>
  <c r="O22" i="8"/>
  <c r="R22" i="8" s="1"/>
  <c r="R22" i="13" s="1"/>
  <c r="W22" i="13" s="1"/>
  <c r="AT22" i="13" s="1"/>
  <c r="G7" i="11"/>
  <c r="O44" i="8"/>
  <c r="R44" i="8" s="1"/>
  <c r="R44" i="13" s="1"/>
  <c r="W44" i="13" s="1"/>
  <c r="AT44" i="13" s="1"/>
  <c r="Q39" i="13"/>
  <c r="V39" i="13" s="1"/>
  <c r="AQ39" i="13" s="1"/>
  <c r="E42" i="11"/>
  <c r="O20" i="8"/>
  <c r="R20" i="8" s="1"/>
  <c r="R20" i="13" s="1"/>
  <c r="W20" i="13" s="1"/>
  <c r="AT20" i="13" s="1"/>
  <c r="G32" i="11"/>
  <c r="O19" i="8"/>
  <c r="R19" i="8" s="1"/>
  <c r="R19" i="13" s="1"/>
  <c r="W19" i="13" s="1"/>
  <c r="AT19" i="13" s="1"/>
  <c r="O46" i="8"/>
  <c r="R46" i="8" s="1"/>
  <c r="H46" i="11" s="1"/>
  <c r="O35" i="8"/>
  <c r="R35" i="8" s="1"/>
  <c r="R35" i="13" s="1"/>
  <c r="W35" i="13" s="1"/>
  <c r="AT35" i="13" s="1"/>
  <c r="O37" i="8"/>
  <c r="R37" i="8" s="1"/>
  <c r="H37" i="11" s="1"/>
  <c r="Q16" i="13"/>
  <c r="V16" i="13" s="1"/>
  <c r="AQ16" i="13" s="1"/>
  <c r="O41" i="8"/>
  <c r="R41" i="8" s="1"/>
  <c r="O51" i="8"/>
  <c r="R51" i="8" s="1"/>
  <c r="H51" i="11" s="1"/>
  <c r="O23" i="8"/>
  <c r="R23" i="8" s="1"/>
  <c r="O26" i="8"/>
  <c r="R26" i="8" s="1"/>
  <c r="O33" i="8"/>
  <c r="R33" i="8" s="1"/>
  <c r="H33" i="11" s="1"/>
  <c r="O15" i="8"/>
  <c r="R15" i="8" s="1"/>
  <c r="O9" i="8"/>
  <c r="R9" i="8" s="1"/>
  <c r="H9" i="11" s="1"/>
  <c r="O6" i="8"/>
  <c r="R6" i="8" s="1"/>
  <c r="O31" i="8"/>
  <c r="R31" i="8" s="1"/>
  <c r="O25" i="8"/>
  <c r="R25" i="8" s="1"/>
  <c r="O29" i="8"/>
  <c r="R29" i="8" s="1"/>
  <c r="O7" i="8"/>
  <c r="R7" i="8" s="1"/>
  <c r="O24" i="8"/>
  <c r="R24" i="8" s="1"/>
  <c r="O34" i="8"/>
  <c r="R34" i="8" s="1"/>
  <c r="O18" i="8"/>
  <c r="R18" i="8" s="1"/>
  <c r="O38" i="8"/>
  <c r="R38" i="8" s="1"/>
  <c r="E31" i="11"/>
  <c r="O30" i="8"/>
  <c r="R30" i="8" s="1"/>
  <c r="O52" i="8"/>
  <c r="R52" i="8" s="1"/>
  <c r="O40" i="8"/>
  <c r="R40" i="8" s="1"/>
  <c r="O32" i="8"/>
  <c r="R32" i="8" s="1"/>
  <c r="O12" i="8"/>
  <c r="R12" i="8" s="1"/>
  <c r="O28" i="8"/>
  <c r="R28" i="8" s="1"/>
  <c r="O39" i="8"/>
  <c r="R39" i="8" s="1"/>
  <c r="O10" i="8"/>
  <c r="R10" i="8" s="1"/>
  <c r="O47" i="8"/>
  <c r="R47" i="8" s="1"/>
  <c r="O48" i="8"/>
  <c r="R48" i="8" s="1"/>
  <c r="O53" i="8"/>
  <c r="R53" i="8" s="1"/>
  <c r="O42" i="8"/>
  <c r="R42" i="8" s="1"/>
  <c r="O17" i="8"/>
  <c r="R17" i="8" s="1"/>
  <c r="O16" i="8"/>
  <c r="R16" i="8" s="1"/>
  <c r="O27" i="8"/>
  <c r="R27" i="8" s="1"/>
  <c r="O50" i="8"/>
  <c r="R50" i="8" s="1"/>
  <c r="O14" i="8"/>
  <c r="R14" i="8" s="1"/>
  <c r="O49" i="8"/>
  <c r="R49" i="8" s="1"/>
  <c r="Q7" i="13"/>
  <c r="V7" i="13" s="1"/>
  <c r="AQ7" i="13" s="1"/>
  <c r="P44" i="13"/>
  <c r="U44" i="13" s="1"/>
  <c r="AS44" i="13" s="1"/>
  <c r="G37" i="11"/>
  <c r="P35" i="13"/>
  <c r="U35" i="13" s="1"/>
  <c r="AS35" i="13" s="1"/>
  <c r="G21" i="11"/>
  <c r="P20" i="13"/>
  <c r="U20" i="13" s="1"/>
  <c r="AS20" i="13" s="1"/>
  <c r="G46" i="11"/>
  <c r="P36" i="13"/>
  <c r="U36" i="13" s="1"/>
  <c r="AS36" i="13" s="1"/>
  <c r="G28" i="11"/>
  <c r="G8" i="11"/>
  <c r="Q28" i="13"/>
  <c r="V28" i="13" s="1"/>
  <c r="AQ28" i="13" s="1"/>
  <c r="G11" i="11"/>
  <c r="P22" i="13"/>
  <c r="U22" i="13" s="1"/>
  <c r="AS22" i="13" s="1"/>
  <c r="G45" i="11"/>
  <c r="G43" i="11"/>
  <c r="G19" i="11"/>
  <c r="E5" i="11"/>
  <c r="Q5" i="13"/>
  <c r="G5" i="11"/>
  <c r="P5" i="13"/>
  <c r="M13" i="6"/>
  <c r="M54" i="6" s="1"/>
  <c r="K50" i="18" s="1"/>
  <c r="N13" i="6"/>
  <c r="N54" i="6" s="1"/>
  <c r="N13" i="8"/>
  <c r="M13" i="8"/>
  <c r="M54" i="8" s="1"/>
  <c r="L13" i="8"/>
  <c r="L54" i="8" s="1"/>
  <c r="K62" i="18" s="1"/>
  <c r="Q13" i="8"/>
  <c r="Q54" i="8" s="1"/>
  <c r="K65" i="18" s="1"/>
  <c r="K13" i="8"/>
  <c r="K54" i="8" s="1"/>
  <c r="J13" i="8"/>
  <c r="J54" i="8" s="1"/>
  <c r="K60" i="18" s="1"/>
  <c r="K13" i="6"/>
  <c r="P13" i="6"/>
  <c r="P54" i="6" s="1"/>
  <c r="K53" i="18" s="1"/>
  <c r="J13" i="10"/>
  <c r="J54" i="10" s="1"/>
  <c r="K57" i="18" s="1"/>
  <c r="I13" i="10"/>
  <c r="I54" i="10" s="1"/>
  <c r="K56" i="18" s="1"/>
  <c r="K13" i="10"/>
  <c r="K54" i="10" s="1"/>
  <c r="K58" i="18" s="1"/>
  <c r="O13" i="6"/>
  <c r="O54" i="6" s="1"/>
  <c r="K52" i="18" s="1"/>
  <c r="K61" i="18" l="1"/>
  <c r="K63" i="18"/>
  <c r="K51" i="18"/>
  <c r="M58" i="13"/>
  <c r="H8" i="11"/>
  <c r="H19" i="11"/>
  <c r="H45" i="11"/>
  <c r="H11" i="11"/>
  <c r="H20" i="11"/>
  <c r="R46" i="13"/>
  <c r="W46" i="13" s="1"/>
  <c r="AT46" i="13" s="1"/>
  <c r="H43" i="11"/>
  <c r="R36" i="13"/>
  <c r="W36" i="13" s="1"/>
  <c r="AT36" i="13" s="1"/>
  <c r="R21" i="13"/>
  <c r="W21" i="13" s="1"/>
  <c r="AT21" i="13" s="1"/>
  <c r="H22" i="11"/>
  <c r="H5" i="11"/>
  <c r="H44" i="11"/>
  <c r="R37" i="13"/>
  <c r="W37" i="13" s="1"/>
  <c r="AT37" i="13" s="1"/>
  <c r="H35" i="11"/>
  <c r="R9" i="13"/>
  <c r="W9" i="13" s="1"/>
  <c r="AT9" i="13" s="1"/>
  <c r="R51" i="13"/>
  <c r="W51" i="13" s="1"/>
  <c r="AT51" i="13" s="1"/>
  <c r="R33" i="13"/>
  <c r="W33" i="13" s="1"/>
  <c r="AT33" i="13" s="1"/>
  <c r="H41" i="11"/>
  <c r="R41" i="13"/>
  <c r="W41" i="13" s="1"/>
  <c r="AT41" i="13" s="1"/>
  <c r="H26" i="11"/>
  <c r="R26" i="13"/>
  <c r="W26" i="13" s="1"/>
  <c r="AT26" i="13" s="1"/>
  <c r="H23" i="11"/>
  <c r="R23" i="13"/>
  <c r="W23" i="13" s="1"/>
  <c r="AT23" i="13" s="1"/>
  <c r="H6" i="11"/>
  <c r="R6" i="13"/>
  <c r="W6" i="13" s="1"/>
  <c r="AT6" i="13" s="1"/>
  <c r="H15" i="11"/>
  <c r="R15" i="13"/>
  <c r="W15" i="13" s="1"/>
  <c r="AT15" i="13" s="1"/>
  <c r="R42" i="13"/>
  <c r="W42" i="13" s="1"/>
  <c r="AT42" i="13" s="1"/>
  <c r="H42" i="11"/>
  <c r="H28" i="11"/>
  <c r="R28" i="13"/>
  <c r="W28" i="13" s="1"/>
  <c r="AT28" i="13" s="1"/>
  <c r="H53" i="11"/>
  <c r="R53" i="13"/>
  <c r="W53" i="13" s="1"/>
  <c r="AT53" i="13" s="1"/>
  <c r="R12" i="13"/>
  <c r="W12" i="13" s="1"/>
  <c r="AT12" i="13" s="1"/>
  <c r="H12" i="11"/>
  <c r="R38" i="13"/>
  <c r="W38" i="13" s="1"/>
  <c r="AT38" i="13" s="1"/>
  <c r="H38" i="11"/>
  <c r="H49" i="11"/>
  <c r="R49" i="13"/>
  <c r="W49" i="13" s="1"/>
  <c r="AT49" i="13" s="1"/>
  <c r="H48" i="11"/>
  <c r="R48" i="13"/>
  <c r="W48" i="13" s="1"/>
  <c r="AT48" i="13" s="1"/>
  <c r="R32" i="13"/>
  <c r="W32" i="13" s="1"/>
  <c r="AT32" i="13" s="1"/>
  <c r="H32" i="11"/>
  <c r="R18" i="13"/>
  <c r="W18" i="13" s="1"/>
  <c r="AT18" i="13" s="1"/>
  <c r="H18" i="11"/>
  <c r="H14" i="11"/>
  <c r="R14" i="13"/>
  <c r="W14" i="13" s="1"/>
  <c r="AT14" i="13" s="1"/>
  <c r="H47" i="11"/>
  <c r="R47" i="13"/>
  <c r="W47" i="13" s="1"/>
  <c r="AT47" i="13" s="1"/>
  <c r="H40" i="11"/>
  <c r="R40" i="13"/>
  <c r="W40" i="13" s="1"/>
  <c r="AT40" i="13" s="1"/>
  <c r="H34" i="11"/>
  <c r="R34" i="13"/>
  <c r="W34" i="13" s="1"/>
  <c r="AT34" i="13" s="1"/>
  <c r="H50" i="11"/>
  <c r="R50" i="13"/>
  <c r="W50" i="13" s="1"/>
  <c r="AT50" i="13" s="1"/>
  <c r="H52" i="11"/>
  <c r="R52" i="13"/>
  <c r="W52" i="13" s="1"/>
  <c r="AT52" i="13" s="1"/>
  <c r="H24" i="11"/>
  <c r="R24" i="13"/>
  <c r="W24" i="13" s="1"/>
  <c r="AT24" i="13" s="1"/>
  <c r="H27" i="11"/>
  <c r="R27" i="13"/>
  <c r="W27" i="13" s="1"/>
  <c r="AT27" i="13" s="1"/>
  <c r="H7" i="11"/>
  <c r="R7" i="13"/>
  <c r="W7" i="13" s="1"/>
  <c r="AT7" i="13" s="1"/>
  <c r="H10" i="11"/>
  <c r="R10" i="13"/>
  <c r="W10" i="13" s="1"/>
  <c r="AT10" i="13" s="1"/>
  <c r="R30" i="13"/>
  <c r="W30" i="13" s="1"/>
  <c r="AT30" i="13" s="1"/>
  <c r="H30" i="11"/>
  <c r="H16" i="11"/>
  <c r="R16" i="13"/>
  <c r="W16" i="13" s="1"/>
  <c r="AT16" i="13" s="1"/>
  <c r="H39" i="11"/>
  <c r="R39" i="13"/>
  <c r="W39" i="13" s="1"/>
  <c r="AT39" i="13" s="1"/>
  <c r="H29" i="11"/>
  <c r="R29" i="13"/>
  <c r="W29" i="13" s="1"/>
  <c r="AT29" i="13" s="1"/>
  <c r="H17" i="11"/>
  <c r="R17" i="13"/>
  <c r="W17" i="13" s="1"/>
  <c r="AT17" i="13" s="1"/>
  <c r="H31" i="11"/>
  <c r="R31" i="13"/>
  <c r="W31" i="13" s="1"/>
  <c r="AT31" i="13" s="1"/>
  <c r="H25" i="11"/>
  <c r="R25" i="13"/>
  <c r="W25" i="13" s="1"/>
  <c r="AT25" i="13" s="1"/>
  <c r="U5" i="13"/>
  <c r="AS5" i="13" s="1"/>
  <c r="V5" i="13"/>
  <c r="AQ5" i="13" s="1"/>
  <c r="Q13" i="6"/>
  <c r="Q13" i="13" s="1"/>
  <c r="V13" i="13" s="1"/>
  <c r="AQ13" i="13" s="1"/>
  <c r="K54" i="6"/>
  <c r="L13" i="10"/>
  <c r="O13" i="8"/>
  <c r="N54" i="8"/>
  <c r="K64" i="18" s="1"/>
  <c r="K48" i="18" l="1"/>
  <c r="K49" i="18"/>
  <c r="V54" i="13"/>
  <c r="P13" i="13"/>
  <c r="U13" i="13" s="1"/>
  <c r="L54" i="10"/>
  <c r="Q54" i="13"/>
  <c r="G13" i="11"/>
  <c r="G54" i="11" s="1"/>
  <c r="Q54" i="6"/>
  <c r="E13" i="11"/>
  <c r="R13" i="8"/>
  <c r="R13" i="13" s="1"/>
  <c r="W13" i="13" s="1"/>
  <c r="AT13" i="13" s="1"/>
  <c r="O54" i="8"/>
  <c r="L32" i="18" s="1"/>
  <c r="U54" i="13" l="1"/>
  <c r="AS13" i="13"/>
  <c r="L55" i="18"/>
  <c r="L28" i="18"/>
  <c r="L47" i="18"/>
  <c r="K14" i="23"/>
  <c r="L14" i="23" s="1"/>
  <c r="W54" i="13"/>
  <c r="K17" i="23" s="1"/>
  <c r="L17" i="23" s="1"/>
  <c r="P54" i="13"/>
  <c r="R54" i="13"/>
  <c r="R54" i="8"/>
  <c r="L59" i="18" s="1"/>
  <c r="H13" i="11"/>
  <c r="H54" i="11" s="1"/>
  <c r="E54" i="11"/>
  <c r="E54" i="7"/>
  <c r="H17" i="23" l="1"/>
  <c r="K13" i="23"/>
  <c r="L13" i="23" s="1"/>
  <c r="H14" i="23"/>
  <c r="F54" i="7"/>
  <c r="F5" i="7"/>
  <c r="G5" i="7" l="1"/>
  <c r="H5" i="7" s="1"/>
  <c r="O5" i="13" s="1"/>
  <c r="G54" i="7"/>
  <c r="K26" i="18"/>
  <c r="G41" i="7"/>
  <c r="H41" i="7" s="1"/>
  <c r="G40" i="7"/>
  <c r="H40" i="7" s="1"/>
  <c r="G52" i="7"/>
  <c r="H52" i="7" s="1"/>
  <c r="G48" i="7"/>
  <c r="H48" i="7" s="1"/>
  <c r="G7" i="7"/>
  <c r="H7" i="7" s="1"/>
  <c r="G20" i="7"/>
  <c r="H20" i="7" s="1"/>
  <c r="G23" i="7"/>
  <c r="H23" i="7" s="1"/>
  <c r="G22" i="7"/>
  <c r="H22" i="7" s="1"/>
  <c r="G37" i="7"/>
  <c r="H37" i="7" s="1"/>
  <c r="G24" i="7"/>
  <c r="H24" i="7" s="1"/>
  <c r="G12" i="7"/>
  <c r="H12" i="7" s="1"/>
  <c r="G14" i="7"/>
  <c r="H14" i="7" s="1"/>
  <c r="G50" i="7"/>
  <c r="H50" i="7" s="1"/>
  <c r="G25" i="7"/>
  <c r="H25" i="7" s="1"/>
  <c r="G18" i="7"/>
  <c r="H18" i="7" s="1"/>
  <c r="G29" i="7"/>
  <c r="H29" i="7" s="1"/>
  <c r="G42" i="7"/>
  <c r="H42" i="7" s="1"/>
  <c r="G34" i="7"/>
  <c r="H34" i="7" s="1"/>
  <c r="G21" i="7"/>
  <c r="H21" i="7" s="1"/>
  <c r="G10" i="7"/>
  <c r="H10" i="7" s="1"/>
  <c r="G38" i="7"/>
  <c r="H38" i="7" s="1"/>
  <c r="G15" i="7"/>
  <c r="H15" i="7" s="1"/>
  <c r="G17" i="7"/>
  <c r="H17" i="7" s="1"/>
  <c r="G35" i="7"/>
  <c r="H35" i="7" s="1"/>
  <c r="G39" i="7"/>
  <c r="H39" i="7" s="1"/>
  <c r="G26" i="7"/>
  <c r="H26" i="7" s="1"/>
  <c r="G32" i="7"/>
  <c r="H32" i="7" s="1"/>
  <c r="G27" i="7"/>
  <c r="H27" i="7" s="1"/>
  <c r="G47" i="7"/>
  <c r="H47" i="7" s="1"/>
  <c r="G28" i="7"/>
  <c r="H28" i="7" s="1"/>
  <c r="G49" i="7"/>
  <c r="H49" i="7" s="1"/>
  <c r="G13" i="7"/>
  <c r="H13" i="7" s="1"/>
  <c r="G16" i="7"/>
  <c r="H16" i="7" s="1"/>
  <c r="G6" i="7"/>
  <c r="H6" i="7" s="1"/>
  <c r="G53" i="7"/>
  <c r="H53" i="7" s="1"/>
  <c r="G11" i="7"/>
  <c r="H11" i="7" s="1"/>
  <c r="G31" i="7"/>
  <c r="H31" i="7" s="1"/>
  <c r="G44" i="7"/>
  <c r="H44" i="7" s="1"/>
  <c r="G8" i="7"/>
  <c r="H8" i="7" s="1"/>
  <c r="G33" i="7"/>
  <c r="H33" i="7" s="1"/>
  <c r="G46" i="7"/>
  <c r="H46" i="7" s="1"/>
  <c r="G9" i="7"/>
  <c r="H9" i="7" s="1"/>
  <c r="G51" i="7"/>
  <c r="H51" i="7" s="1"/>
  <c r="G43" i="7"/>
  <c r="H43" i="7" s="1"/>
  <c r="G30" i="7"/>
  <c r="H30" i="7" s="1"/>
  <c r="G45" i="7"/>
  <c r="H45" i="7" s="1"/>
  <c r="G19" i="7"/>
  <c r="H19" i="7" s="1"/>
  <c r="G36" i="7"/>
  <c r="H36" i="7" s="1"/>
  <c r="K27" i="18" l="1"/>
  <c r="F5" i="11"/>
  <c r="I5" i="11" s="1"/>
  <c r="H54" i="7"/>
  <c r="L54" i="18" s="1"/>
  <c r="F21" i="11"/>
  <c r="I21" i="11" s="1"/>
  <c r="O21" i="11" s="1"/>
  <c r="O21" i="13"/>
  <c r="T21" i="13" s="1"/>
  <c r="O9" i="13"/>
  <c r="T9" i="13" s="1"/>
  <c r="F9" i="11"/>
  <c r="I9" i="11" s="1"/>
  <c r="O9" i="11" s="1"/>
  <c r="O6" i="13"/>
  <c r="T6" i="13" s="1"/>
  <c r="F6" i="11"/>
  <c r="I6" i="11" s="1"/>
  <c r="O6" i="11" s="1"/>
  <c r="O26" i="13"/>
  <c r="T26" i="13" s="1"/>
  <c r="F26" i="11"/>
  <c r="I26" i="11" s="1"/>
  <c r="O26" i="11" s="1"/>
  <c r="F34" i="11"/>
  <c r="I34" i="11" s="1"/>
  <c r="O34" i="11" s="1"/>
  <c r="O34" i="13"/>
  <c r="T34" i="13" s="1"/>
  <c r="F24" i="11"/>
  <c r="I24" i="11" s="1"/>
  <c r="O24" i="11" s="1"/>
  <c r="O24" i="13"/>
  <c r="T24" i="13" s="1"/>
  <c r="F40" i="11"/>
  <c r="I40" i="11" s="1"/>
  <c r="O40" i="11" s="1"/>
  <c r="O40" i="13"/>
  <c r="T40" i="13" s="1"/>
  <c r="F16" i="11"/>
  <c r="I16" i="11" s="1"/>
  <c r="O16" i="11" s="1"/>
  <c r="O16" i="13"/>
  <c r="T16" i="13" s="1"/>
  <c r="O39" i="13"/>
  <c r="T39" i="13" s="1"/>
  <c r="F39" i="11"/>
  <c r="I39" i="11" s="1"/>
  <c r="O39" i="11" s="1"/>
  <c r="O42" i="13"/>
  <c r="T42" i="13" s="1"/>
  <c r="F42" i="11"/>
  <c r="I42" i="11" s="1"/>
  <c r="O42" i="11" s="1"/>
  <c r="O37" i="13"/>
  <c r="T37" i="13" s="1"/>
  <c r="F37" i="11"/>
  <c r="I37" i="11" s="1"/>
  <c r="O37" i="11" s="1"/>
  <c r="F41" i="11"/>
  <c r="I41" i="11" s="1"/>
  <c r="O41" i="11" s="1"/>
  <c r="O41" i="13"/>
  <c r="T41" i="13" s="1"/>
  <c r="O12" i="13"/>
  <c r="T12" i="13" s="1"/>
  <c r="F12" i="11"/>
  <c r="I12" i="11" s="1"/>
  <c r="O12" i="11" s="1"/>
  <c r="O33" i="13"/>
  <c r="T33" i="13" s="1"/>
  <c r="F33" i="11"/>
  <c r="I33" i="11" s="1"/>
  <c r="O33" i="11" s="1"/>
  <c r="O13" i="13"/>
  <c r="T13" i="13" s="1"/>
  <c r="F13" i="11"/>
  <c r="I13" i="11" s="1"/>
  <c r="O13" i="11" s="1"/>
  <c r="F35" i="11"/>
  <c r="I35" i="11" s="1"/>
  <c r="O35" i="11" s="1"/>
  <c r="O35" i="13"/>
  <c r="T35" i="13" s="1"/>
  <c r="F29" i="11"/>
  <c r="I29" i="11" s="1"/>
  <c r="O29" i="11" s="1"/>
  <c r="O29" i="13"/>
  <c r="T29" i="13" s="1"/>
  <c r="O22" i="13"/>
  <c r="T22" i="13" s="1"/>
  <c r="F22" i="11"/>
  <c r="I22" i="11" s="1"/>
  <c r="O22" i="11" s="1"/>
  <c r="F52" i="11"/>
  <c r="I52" i="11" s="1"/>
  <c r="O52" i="11" s="1"/>
  <c r="O52" i="13"/>
  <c r="T52" i="13" s="1"/>
  <c r="O49" i="13"/>
  <c r="T49" i="13" s="1"/>
  <c r="F49" i="11"/>
  <c r="I49" i="11" s="1"/>
  <c r="O49" i="11" s="1"/>
  <c r="O18" i="13"/>
  <c r="T18" i="13" s="1"/>
  <c r="F18" i="11"/>
  <c r="I18" i="11" s="1"/>
  <c r="O18" i="11" s="1"/>
  <c r="F23" i="11"/>
  <c r="I23" i="11" s="1"/>
  <c r="O23" i="11" s="1"/>
  <c r="O23" i="13"/>
  <c r="T23" i="13" s="1"/>
  <c r="F53" i="11"/>
  <c r="I53" i="11" s="1"/>
  <c r="O53" i="11" s="1"/>
  <c r="O53" i="13"/>
  <c r="T53" i="13" s="1"/>
  <c r="O46" i="13"/>
  <c r="T46" i="13" s="1"/>
  <c r="F46" i="11"/>
  <c r="I46" i="11" s="1"/>
  <c r="O46" i="11" s="1"/>
  <c r="F8" i="11"/>
  <c r="I8" i="11" s="1"/>
  <c r="O8" i="11" s="1"/>
  <c r="O8" i="13"/>
  <c r="T8" i="13" s="1"/>
  <c r="F30" i="11"/>
  <c r="I30" i="11" s="1"/>
  <c r="O30" i="11" s="1"/>
  <c r="O30" i="13"/>
  <c r="T30" i="13" s="1"/>
  <c r="O28" i="13"/>
  <c r="T28" i="13" s="1"/>
  <c r="F28" i="11"/>
  <c r="I28" i="11" s="1"/>
  <c r="O28" i="11" s="1"/>
  <c r="O15" i="13"/>
  <c r="T15" i="13" s="1"/>
  <c r="F15" i="11"/>
  <c r="I15" i="11" s="1"/>
  <c r="O15" i="11" s="1"/>
  <c r="O25" i="13"/>
  <c r="T25" i="13" s="1"/>
  <c r="F25" i="11"/>
  <c r="I25" i="11" s="1"/>
  <c r="O25" i="11" s="1"/>
  <c r="F20" i="11"/>
  <c r="I20" i="11" s="1"/>
  <c r="O20" i="11" s="1"/>
  <c r="O20" i="13"/>
  <c r="T20" i="13" s="1"/>
  <c r="F19" i="11"/>
  <c r="I19" i="11" s="1"/>
  <c r="O19" i="11" s="1"/>
  <c r="O19" i="13"/>
  <c r="T19" i="13" s="1"/>
  <c r="O17" i="13"/>
  <c r="T17" i="13" s="1"/>
  <c r="F17" i="11"/>
  <c r="I17" i="11" s="1"/>
  <c r="O17" i="11" s="1"/>
  <c r="F43" i="11"/>
  <c r="I43" i="11" s="1"/>
  <c r="O43" i="11" s="1"/>
  <c r="O43" i="13"/>
  <c r="T43" i="13" s="1"/>
  <c r="O31" i="13"/>
  <c r="T31" i="13" s="1"/>
  <c r="F31" i="11"/>
  <c r="I31" i="11" s="1"/>
  <c r="O31" i="11" s="1"/>
  <c r="F47" i="11"/>
  <c r="I47" i="11" s="1"/>
  <c r="O47" i="11" s="1"/>
  <c r="O47" i="13"/>
  <c r="T47" i="13" s="1"/>
  <c r="F38" i="11"/>
  <c r="I38" i="11" s="1"/>
  <c r="O38" i="11" s="1"/>
  <c r="O38" i="13"/>
  <c r="T38" i="13" s="1"/>
  <c r="O50" i="13"/>
  <c r="T50" i="13" s="1"/>
  <c r="F50" i="11"/>
  <c r="I50" i="11" s="1"/>
  <c r="O50" i="11" s="1"/>
  <c r="F7" i="11"/>
  <c r="I7" i="11" s="1"/>
  <c r="O7" i="11" s="1"/>
  <c r="O7" i="13"/>
  <c r="T7" i="13" s="1"/>
  <c r="O32" i="13"/>
  <c r="T32" i="13" s="1"/>
  <c r="F32" i="11"/>
  <c r="I32" i="11" s="1"/>
  <c r="O32" i="11" s="1"/>
  <c r="O36" i="13"/>
  <c r="T36" i="13" s="1"/>
  <c r="F36" i="11"/>
  <c r="I36" i="11" s="1"/>
  <c r="O36" i="11" s="1"/>
  <c r="F45" i="11"/>
  <c r="I45" i="11" s="1"/>
  <c r="O45" i="11" s="1"/>
  <c r="O45" i="13"/>
  <c r="T45" i="13" s="1"/>
  <c r="F44" i="11"/>
  <c r="I44" i="11" s="1"/>
  <c r="O44" i="11" s="1"/>
  <c r="O44" i="13"/>
  <c r="T44" i="13" s="1"/>
  <c r="O51" i="13"/>
  <c r="T51" i="13" s="1"/>
  <c r="F51" i="11"/>
  <c r="I51" i="11" s="1"/>
  <c r="O51" i="11" s="1"/>
  <c r="O11" i="13"/>
  <c r="T11" i="13" s="1"/>
  <c r="F11" i="11"/>
  <c r="I11" i="11" s="1"/>
  <c r="O11" i="11" s="1"/>
  <c r="F27" i="11"/>
  <c r="I27" i="11" s="1"/>
  <c r="O27" i="11" s="1"/>
  <c r="O27" i="13"/>
  <c r="T27" i="13" s="1"/>
  <c r="F10" i="11"/>
  <c r="I10" i="11" s="1"/>
  <c r="O10" i="11" s="1"/>
  <c r="O10" i="13"/>
  <c r="T10" i="13" s="1"/>
  <c r="O14" i="13"/>
  <c r="T14" i="13" s="1"/>
  <c r="F14" i="11"/>
  <c r="I14" i="11" s="1"/>
  <c r="O14" i="11" s="1"/>
  <c r="F48" i="11"/>
  <c r="I48" i="11" s="1"/>
  <c r="O48" i="11" s="1"/>
  <c r="O48" i="13"/>
  <c r="T48" i="13" s="1"/>
  <c r="T5" i="13"/>
  <c r="AR5" i="13" s="1"/>
  <c r="X47" i="13" l="1"/>
  <c r="Z47" i="13" s="1"/>
  <c r="AR47" i="13"/>
  <c r="X10" i="13"/>
  <c r="Z10" i="13" s="1"/>
  <c r="AR10" i="13"/>
  <c r="X44" i="13"/>
  <c r="Z44" i="13" s="1"/>
  <c r="AR44" i="13"/>
  <c r="X28" i="13"/>
  <c r="Z28" i="13" s="1"/>
  <c r="AR28" i="13"/>
  <c r="X13" i="13"/>
  <c r="Z13" i="13" s="1"/>
  <c r="AR13" i="13"/>
  <c r="X37" i="13"/>
  <c r="Z37" i="13" s="1"/>
  <c r="AR37" i="13"/>
  <c r="X6" i="13"/>
  <c r="Z6" i="13" s="1"/>
  <c r="AR6" i="13"/>
  <c r="X14" i="13"/>
  <c r="Z14" i="13" s="1"/>
  <c r="AR14" i="13"/>
  <c r="X7" i="13"/>
  <c r="Z7" i="13" s="1"/>
  <c r="AR7" i="13"/>
  <c r="X20" i="13"/>
  <c r="Z20" i="13" s="1"/>
  <c r="AR20" i="13"/>
  <c r="X30" i="13"/>
  <c r="Z30" i="13" s="1"/>
  <c r="AR30" i="13"/>
  <c r="X23" i="13"/>
  <c r="Z23" i="13" s="1"/>
  <c r="AR23" i="13"/>
  <c r="X24" i="13"/>
  <c r="Z24" i="13" s="1"/>
  <c r="AR24" i="13"/>
  <c r="X51" i="13"/>
  <c r="Z51" i="13" s="1"/>
  <c r="AR51" i="13"/>
  <c r="X19" i="13"/>
  <c r="Z19" i="13" s="1"/>
  <c r="AR19" i="13"/>
  <c r="X27" i="13"/>
  <c r="Z27" i="13" s="1"/>
  <c r="AR27" i="13"/>
  <c r="X45" i="13"/>
  <c r="Z45" i="13" s="1"/>
  <c r="AR45" i="13"/>
  <c r="X31" i="13"/>
  <c r="Z31" i="13" s="1"/>
  <c r="AR31" i="13"/>
  <c r="X22" i="13"/>
  <c r="Z22" i="13" s="1"/>
  <c r="AR22" i="13"/>
  <c r="X33" i="13"/>
  <c r="Z33" i="13" s="1"/>
  <c r="AR33" i="13"/>
  <c r="X42" i="13"/>
  <c r="Z42" i="13" s="1"/>
  <c r="AR42" i="13"/>
  <c r="X9" i="13"/>
  <c r="Z9" i="13" s="1"/>
  <c r="AR9" i="13"/>
  <c r="X52" i="13"/>
  <c r="Z52" i="13" s="1"/>
  <c r="AR52" i="13"/>
  <c r="X43" i="13"/>
  <c r="Z43" i="13" s="1"/>
  <c r="AR43" i="13"/>
  <c r="X8" i="13"/>
  <c r="Z8" i="13" s="1"/>
  <c r="AR8" i="13"/>
  <c r="X29" i="13"/>
  <c r="Z29" i="13" s="1"/>
  <c r="AR29" i="13"/>
  <c r="X34" i="13"/>
  <c r="Z34" i="13" s="1"/>
  <c r="AR34" i="13"/>
  <c r="X21" i="13"/>
  <c r="Z21" i="13" s="1"/>
  <c r="AR21" i="13"/>
  <c r="X32" i="13"/>
  <c r="Z32" i="13" s="1"/>
  <c r="AR32" i="13"/>
  <c r="X40" i="13"/>
  <c r="Z40" i="13" s="1"/>
  <c r="AR40" i="13"/>
  <c r="X50" i="13"/>
  <c r="Z50" i="13" s="1"/>
  <c r="AR50" i="13"/>
  <c r="X25" i="13"/>
  <c r="Z25" i="13" s="1"/>
  <c r="AR25" i="13"/>
  <c r="X18" i="13"/>
  <c r="Z18" i="13" s="1"/>
  <c r="AR18" i="13"/>
  <c r="X12" i="13"/>
  <c r="Z12" i="13" s="1"/>
  <c r="AR12" i="13"/>
  <c r="X39" i="13"/>
  <c r="Z39" i="13" s="1"/>
  <c r="AR39" i="13"/>
  <c r="X53" i="13"/>
  <c r="Z53" i="13" s="1"/>
  <c r="AR53" i="13"/>
  <c r="X48" i="13"/>
  <c r="Z48" i="13" s="1"/>
  <c r="AR48" i="13"/>
  <c r="X11" i="13"/>
  <c r="Z11" i="13" s="1"/>
  <c r="AR11" i="13"/>
  <c r="X36" i="13"/>
  <c r="Z36" i="13" s="1"/>
  <c r="AR36" i="13"/>
  <c r="X38" i="13"/>
  <c r="Z38" i="13" s="1"/>
  <c r="AR38" i="13"/>
  <c r="X35" i="13"/>
  <c r="Z35" i="13" s="1"/>
  <c r="AR35" i="13"/>
  <c r="X41" i="13"/>
  <c r="Z41" i="13" s="1"/>
  <c r="AR41" i="13"/>
  <c r="X16" i="13"/>
  <c r="Z16" i="13" s="1"/>
  <c r="AR16" i="13"/>
  <c r="X17" i="13"/>
  <c r="Z17" i="13" s="1"/>
  <c r="AR17" i="13"/>
  <c r="X15" i="13"/>
  <c r="Z15" i="13" s="1"/>
  <c r="AR15" i="13"/>
  <c r="X46" i="13"/>
  <c r="Z46" i="13" s="1"/>
  <c r="AR46" i="13"/>
  <c r="X49" i="13"/>
  <c r="Z49" i="13" s="1"/>
  <c r="AR49" i="13"/>
  <c r="X26" i="13"/>
  <c r="Z26" i="13" s="1"/>
  <c r="AR26" i="13"/>
  <c r="F54" i="11"/>
  <c r="O54" i="13"/>
  <c r="P50" i="11"/>
  <c r="P32" i="11"/>
  <c r="AA32" i="13" s="1"/>
  <c r="AC32" i="13" s="1"/>
  <c r="P15" i="11"/>
  <c r="P38" i="11"/>
  <c r="P35" i="11"/>
  <c r="P41" i="11"/>
  <c r="P16" i="11"/>
  <c r="P11" i="11"/>
  <c r="P14" i="11"/>
  <c r="P46" i="11"/>
  <c r="AA46" i="13" s="1"/>
  <c r="AC46" i="13" s="1"/>
  <c r="P28" i="11"/>
  <c r="P13" i="11"/>
  <c r="AA13" i="13" s="1"/>
  <c r="AC13" i="13" s="1"/>
  <c r="P37" i="11"/>
  <c r="AA37" i="13" s="1"/>
  <c r="AC37" i="13" s="1"/>
  <c r="P6" i="11"/>
  <c r="P36" i="11"/>
  <c r="P51" i="11"/>
  <c r="P17" i="11"/>
  <c r="P49" i="11"/>
  <c r="AA49" i="13" s="1"/>
  <c r="AC49" i="13" s="1"/>
  <c r="P26" i="11"/>
  <c r="P10" i="11"/>
  <c r="P44" i="11"/>
  <c r="O5" i="11"/>
  <c r="I54" i="11"/>
  <c r="K67" i="18" s="1"/>
  <c r="P47" i="11"/>
  <c r="AA47" i="13" s="1"/>
  <c r="AC47" i="13" s="1"/>
  <c r="P19" i="11"/>
  <c r="P53" i="11"/>
  <c r="P52" i="11"/>
  <c r="P40" i="11"/>
  <c r="P31" i="11"/>
  <c r="AA31" i="13" s="1"/>
  <c r="AC31" i="13" s="1"/>
  <c r="P22" i="11"/>
  <c r="P33" i="11"/>
  <c r="P42" i="11"/>
  <c r="P9" i="11"/>
  <c r="T54" i="13"/>
  <c r="X5" i="13"/>
  <c r="P27" i="11"/>
  <c r="P45" i="11"/>
  <c r="P7" i="11"/>
  <c r="P20" i="11"/>
  <c r="P30" i="11"/>
  <c r="AA30" i="13" s="1"/>
  <c r="AC30" i="13" s="1"/>
  <c r="P23" i="11"/>
  <c r="P24" i="11"/>
  <c r="AA24" i="13" s="1"/>
  <c r="AC24" i="13" s="1"/>
  <c r="P25" i="11"/>
  <c r="P18" i="11"/>
  <c r="AA18" i="13" s="1"/>
  <c r="AC18" i="13" s="1"/>
  <c r="P12" i="11"/>
  <c r="P39" i="11"/>
  <c r="AA39" i="13" s="1"/>
  <c r="AC39" i="13" s="1"/>
  <c r="P48" i="11"/>
  <c r="P43" i="11"/>
  <c r="P8" i="11"/>
  <c r="P29" i="11"/>
  <c r="P34" i="11"/>
  <c r="P21" i="11"/>
  <c r="K15" i="23" l="1"/>
  <c r="L15" i="23" s="1"/>
  <c r="K16" i="23"/>
  <c r="L16" i="23" s="1"/>
  <c r="H15" i="23"/>
  <c r="H16" i="23"/>
  <c r="AD24" i="13"/>
  <c r="AE24" i="13" s="1"/>
  <c r="AD46" i="13"/>
  <c r="AE46" i="13" s="1"/>
  <c r="T8" i="11"/>
  <c r="U8" i="11" s="1"/>
  <c r="AA8" i="13"/>
  <c r="AC8" i="13" s="1"/>
  <c r="AD8" i="13" s="1"/>
  <c r="AE8" i="13" s="1"/>
  <c r="T20" i="11"/>
  <c r="U20" i="11" s="1"/>
  <c r="AA20" i="13"/>
  <c r="AC20" i="13" s="1"/>
  <c r="AD20" i="13" s="1"/>
  <c r="AE20" i="13" s="1"/>
  <c r="T42" i="11"/>
  <c r="U42" i="11" s="1"/>
  <c r="AA42" i="13"/>
  <c r="AC42" i="13" s="1"/>
  <c r="AD42" i="13" s="1"/>
  <c r="AE42" i="13" s="1"/>
  <c r="T33" i="11"/>
  <c r="U33" i="11" s="1"/>
  <c r="AA33" i="13"/>
  <c r="AC33" i="13" s="1"/>
  <c r="AD33" i="13" s="1"/>
  <c r="AE33" i="13" s="1"/>
  <c r="T17" i="11"/>
  <c r="U17" i="11" s="1"/>
  <c r="AA17" i="13"/>
  <c r="AC17" i="13" s="1"/>
  <c r="AD17" i="13" s="1"/>
  <c r="AE17" i="13" s="1"/>
  <c r="T34" i="11"/>
  <c r="U34" i="11" s="1"/>
  <c r="AA34" i="13"/>
  <c r="AC34" i="13" s="1"/>
  <c r="AD34" i="13" s="1"/>
  <c r="AE34" i="13" s="1"/>
  <c r="T45" i="11"/>
  <c r="U45" i="11" s="1"/>
  <c r="AA45" i="13"/>
  <c r="AC45" i="13" s="1"/>
  <c r="AD45" i="13" s="1"/>
  <c r="AE45" i="13" s="1"/>
  <c r="T22" i="11"/>
  <c r="U22" i="11" s="1"/>
  <c r="AA22" i="13"/>
  <c r="AC22" i="13" s="1"/>
  <c r="AD22" i="13" s="1"/>
  <c r="AE22" i="13" s="1"/>
  <c r="T40" i="11"/>
  <c r="U40" i="11" s="1"/>
  <c r="AA40" i="13"/>
  <c r="AC40" i="13" s="1"/>
  <c r="AD40" i="13" s="1"/>
  <c r="AE40" i="13" s="1"/>
  <c r="T51" i="11"/>
  <c r="U51" i="11" s="1"/>
  <c r="AA51" i="13"/>
  <c r="AC51" i="13" s="1"/>
  <c r="AD51" i="13" s="1"/>
  <c r="AE51" i="13" s="1"/>
  <c r="T14" i="11"/>
  <c r="U14" i="11" s="1"/>
  <c r="AA14" i="13"/>
  <c r="AC14" i="13" s="1"/>
  <c r="AD14" i="13" s="1"/>
  <c r="AE14" i="13" s="1"/>
  <c r="T15" i="11"/>
  <c r="U15" i="11" s="1"/>
  <c r="AA15" i="13"/>
  <c r="AC15" i="13" s="1"/>
  <c r="AD15" i="13" s="1"/>
  <c r="AE15" i="13" s="1"/>
  <c r="T36" i="11"/>
  <c r="U36" i="11" s="1"/>
  <c r="AA36" i="13"/>
  <c r="AC36" i="13" s="1"/>
  <c r="AD36" i="13" s="1"/>
  <c r="AE36" i="13" s="1"/>
  <c r="T28" i="11"/>
  <c r="U28" i="11" s="1"/>
  <c r="AA28" i="13"/>
  <c r="AC28" i="13" s="1"/>
  <c r="AD28" i="13" s="1"/>
  <c r="AE28" i="13" s="1"/>
  <c r="T11" i="11"/>
  <c r="U11" i="11" s="1"/>
  <c r="AA11" i="13"/>
  <c r="AC11" i="13" s="1"/>
  <c r="AD11" i="13" s="1"/>
  <c r="AE11" i="13" s="1"/>
  <c r="T21" i="11"/>
  <c r="U21" i="11" s="1"/>
  <c r="AA21" i="13"/>
  <c r="AC21" i="13" s="1"/>
  <c r="AD21" i="13" s="1"/>
  <c r="AE21" i="13" s="1"/>
  <c r="T43" i="11"/>
  <c r="U43" i="11" s="1"/>
  <c r="AA43" i="13"/>
  <c r="AC43" i="13" s="1"/>
  <c r="AD43" i="13" s="1"/>
  <c r="AE43" i="13" s="1"/>
  <c r="T7" i="11"/>
  <c r="U7" i="11" s="1"/>
  <c r="AA7" i="13"/>
  <c r="AC7" i="13" s="1"/>
  <c r="AD7" i="13" s="1"/>
  <c r="AE7" i="13" s="1"/>
  <c r="T27" i="11"/>
  <c r="U27" i="11" s="1"/>
  <c r="AA27" i="13"/>
  <c r="AC27" i="13" s="1"/>
  <c r="AD27" i="13" s="1"/>
  <c r="AE27" i="13" s="1"/>
  <c r="T25" i="11"/>
  <c r="U25" i="11" s="1"/>
  <c r="AA25" i="13"/>
  <c r="AC25" i="13" s="1"/>
  <c r="AD25" i="13" s="1"/>
  <c r="AE25" i="13" s="1"/>
  <c r="AD30" i="13"/>
  <c r="AE30" i="13" s="1"/>
  <c r="T44" i="11"/>
  <c r="U44" i="11" s="1"/>
  <c r="AA44" i="13"/>
  <c r="AC44" i="13" s="1"/>
  <c r="AD44" i="13" s="1"/>
  <c r="AE44" i="13" s="1"/>
  <c r="T38" i="11"/>
  <c r="U38" i="11" s="1"/>
  <c r="AA38" i="13"/>
  <c r="AC38" i="13" s="1"/>
  <c r="AD38" i="13" s="1"/>
  <c r="AE38" i="13" s="1"/>
  <c r="T50" i="11"/>
  <c r="U50" i="11" s="1"/>
  <c r="AA50" i="13"/>
  <c r="AC50" i="13" s="1"/>
  <c r="AD50" i="13" s="1"/>
  <c r="AE50" i="13" s="1"/>
  <c r="T26" i="11"/>
  <c r="U26" i="11" s="1"/>
  <c r="AA26" i="13"/>
  <c r="AC26" i="13" s="1"/>
  <c r="AD26" i="13" s="1"/>
  <c r="AE26" i="13" s="1"/>
  <c r="T35" i="11"/>
  <c r="U35" i="11" s="1"/>
  <c r="AA35" i="13"/>
  <c r="AC35" i="13" s="1"/>
  <c r="AD35" i="13" s="1"/>
  <c r="AE35" i="13" s="1"/>
  <c r="T29" i="11"/>
  <c r="U29" i="11" s="1"/>
  <c r="AA29" i="13"/>
  <c r="AC29" i="13" s="1"/>
  <c r="AD29" i="13" s="1"/>
  <c r="AE29" i="13" s="1"/>
  <c r="T48" i="11"/>
  <c r="U48" i="11" s="1"/>
  <c r="AA48" i="13"/>
  <c r="AC48" i="13" s="1"/>
  <c r="AD48" i="13" s="1"/>
  <c r="AE48" i="13" s="1"/>
  <c r="T23" i="11"/>
  <c r="U23" i="11" s="1"/>
  <c r="AA23" i="13"/>
  <c r="AC23" i="13" s="1"/>
  <c r="AD23" i="13" s="1"/>
  <c r="AE23" i="13" s="1"/>
  <c r="T52" i="11"/>
  <c r="U52" i="11" s="1"/>
  <c r="AA52" i="13"/>
  <c r="AC52" i="13" s="1"/>
  <c r="AD52" i="13" s="1"/>
  <c r="AE52" i="13" s="1"/>
  <c r="T10" i="11"/>
  <c r="U10" i="11" s="1"/>
  <c r="AA10" i="13"/>
  <c r="AC10" i="13" s="1"/>
  <c r="AD10" i="13" s="1"/>
  <c r="AE10" i="13" s="1"/>
  <c r="T6" i="11"/>
  <c r="U6" i="11" s="1"/>
  <c r="AA6" i="13"/>
  <c r="AC6" i="13" s="1"/>
  <c r="AD6" i="13" s="1"/>
  <c r="AE6" i="13" s="1"/>
  <c r="AD47" i="13"/>
  <c r="AE47" i="13" s="1"/>
  <c r="T16" i="11"/>
  <c r="U16" i="11" s="1"/>
  <c r="AA16" i="13"/>
  <c r="AC16" i="13" s="1"/>
  <c r="AD16" i="13" s="1"/>
  <c r="AE16" i="13" s="1"/>
  <c r="AD32" i="13"/>
  <c r="AE32" i="13" s="1"/>
  <c r="AD31" i="13"/>
  <c r="AE31" i="13" s="1"/>
  <c r="T19" i="11"/>
  <c r="U19" i="11" s="1"/>
  <c r="AA19" i="13"/>
  <c r="AC19" i="13" s="1"/>
  <c r="AD19" i="13" s="1"/>
  <c r="AE19" i="13" s="1"/>
  <c r="T12" i="11"/>
  <c r="U12" i="11" s="1"/>
  <c r="AA12" i="13"/>
  <c r="AC12" i="13" s="1"/>
  <c r="AD12" i="13" s="1"/>
  <c r="AE12" i="13" s="1"/>
  <c r="AD18" i="13"/>
  <c r="AE18" i="13" s="1"/>
  <c r="T9" i="11"/>
  <c r="U9" i="11" s="1"/>
  <c r="AA9" i="13"/>
  <c r="AC9" i="13" s="1"/>
  <c r="AD9" i="13" s="1"/>
  <c r="AE9" i="13" s="1"/>
  <c r="T53" i="11"/>
  <c r="U53" i="11" s="1"/>
  <c r="AA53" i="13"/>
  <c r="AC53" i="13" s="1"/>
  <c r="AD53" i="13" s="1"/>
  <c r="AE53" i="13" s="1"/>
  <c r="T41" i="11"/>
  <c r="U41" i="11" s="1"/>
  <c r="AA41" i="13"/>
  <c r="AC41" i="13" s="1"/>
  <c r="AD41" i="13" s="1"/>
  <c r="AE41" i="13" s="1"/>
  <c r="T31" i="11"/>
  <c r="U31" i="11" s="1"/>
  <c r="T37" i="11"/>
  <c r="U37" i="11" s="1"/>
  <c r="T39" i="11"/>
  <c r="U39" i="11" s="1"/>
  <c r="AD13" i="13"/>
  <c r="AE13" i="13" s="1"/>
  <c r="T47" i="11"/>
  <c r="U47" i="11" s="1"/>
  <c r="T49" i="11"/>
  <c r="U49" i="11" s="1"/>
  <c r="T13" i="11"/>
  <c r="U13" i="11" s="1"/>
  <c r="T46" i="11"/>
  <c r="U46" i="11" s="1"/>
  <c r="AD49" i="13"/>
  <c r="AE49" i="13" s="1"/>
  <c r="T18" i="11"/>
  <c r="U18" i="11" s="1"/>
  <c r="T32" i="11"/>
  <c r="U32" i="11" s="1"/>
  <c r="AD37" i="13"/>
  <c r="AE37" i="13" s="1"/>
  <c r="AD39" i="13"/>
  <c r="AE39" i="13" s="1"/>
  <c r="T30" i="11"/>
  <c r="U30" i="11" s="1"/>
  <c r="O54" i="11"/>
  <c r="L66" i="18" s="1"/>
  <c r="P5" i="11"/>
  <c r="T24" i="11"/>
  <c r="U24" i="11" s="1"/>
  <c r="Z5" i="13"/>
  <c r="X54" i="13"/>
  <c r="K19" i="23" l="1"/>
  <c r="H19" i="23"/>
  <c r="L19" i="23"/>
  <c r="AO24" i="13"/>
  <c r="AO51" i="13"/>
  <c r="AO23" i="13"/>
  <c r="AO34" i="13"/>
  <c r="AO38" i="13"/>
  <c r="AO39" i="13"/>
  <c r="AO44" i="13"/>
  <c r="AO25" i="13"/>
  <c r="AO26" i="13"/>
  <c r="AO36" i="13"/>
  <c r="AO15" i="13"/>
  <c r="AO52" i="13"/>
  <c r="AO40" i="13"/>
  <c r="AO8" i="13"/>
  <c r="AO19" i="13"/>
  <c r="AO17" i="13"/>
  <c r="AO53" i="13"/>
  <c r="AO6" i="13"/>
  <c r="AO10" i="13"/>
  <c r="AO32" i="13"/>
  <c r="AO27" i="13"/>
  <c r="AO37" i="13"/>
  <c r="AO42" i="13"/>
  <c r="AO9" i="13"/>
  <c r="AO7" i="13"/>
  <c r="AO47" i="13"/>
  <c r="AO13" i="13"/>
  <c r="AO33" i="13"/>
  <c r="AO29" i="13"/>
  <c r="AO41" i="13"/>
  <c r="AO48" i="13"/>
  <c r="AO20" i="13"/>
  <c r="AO30" i="13"/>
  <c r="AO31" i="13"/>
  <c r="AO50" i="13"/>
  <c r="AO45" i="13"/>
  <c r="AO21" i="13"/>
  <c r="AO43" i="13"/>
  <c r="AO22" i="13"/>
  <c r="AO14" i="13"/>
  <c r="AO35" i="13"/>
  <c r="AO16" i="13"/>
  <c r="Z54" i="13"/>
  <c r="Z56" i="13"/>
  <c r="AO18" i="13"/>
  <c r="AO12" i="13"/>
  <c r="AO11" i="13"/>
  <c r="AO28" i="13"/>
  <c r="AO46" i="13"/>
  <c r="AO49" i="13"/>
  <c r="AK16" i="13"/>
  <c r="AK43" i="13"/>
  <c r="AK36" i="13"/>
  <c r="AK40" i="13"/>
  <c r="AK17" i="13"/>
  <c r="AK8" i="13"/>
  <c r="AK39" i="13"/>
  <c r="AK49" i="13"/>
  <c r="AK18" i="13"/>
  <c r="AK23" i="13"/>
  <c r="AK26" i="13"/>
  <c r="AK30" i="13"/>
  <c r="AK12" i="13"/>
  <c r="AK47" i="13"/>
  <c r="AK25" i="13"/>
  <c r="AK21" i="13"/>
  <c r="AK15" i="13"/>
  <c r="AK22" i="13"/>
  <c r="AK33" i="13"/>
  <c r="AK46" i="13"/>
  <c r="AK41" i="13"/>
  <c r="AK6" i="13"/>
  <c r="AK48" i="13"/>
  <c r="AK50" i="13"/>
  <c r="AK24" i="13"/>
  <c r="AK19" i="13"/>
  <c r="AK27" i="13"/>
  <c r="AK11" i="13"/>
  <c r="AK14" i="13"/>
  <c r="AK45" i="13"/>
  <c r="AK42" i="13"/>
  <c r="AK37" i="13"/>
  <c r="AK53" i="13"/>
  <c r="AK10" i="13"/>
  <c r="AK29" i="13"/>
  <c r="AK38" i="13"/>
  <c r="AK13" i="13"/>
  <c r="AK31" i="13"/>
  <c r="AK7" i="13"/>
  <c r="AK28" i="13"/>
  <c r="AK51" i="13"/>
  <c r="AK34" i="13"/>
  <c r="AK20" i="13"/>
  <c r="AK9" i="13"/>
  <c r="AK32" i="13"/>
  <c r="AK52" i="13"/>
  <c r="AK35" i="13"/>
  <c r="AK44" i="13"/>
  <c r="P54" i="11"/>
  <c r="L71" i="18" s="1"/>
  <c r="AA5" i="13"/>
  <c r="T5" i="11"/>
  <c r="T54" i="11" s="1"/>
  <c r="L72" i="18" s="1"/>
  <c r="L21" i="23" l="1"/>
  <c r="AC5" i="13"/>
  <c r="AA54" i="13"/>
  <c r="U5" i="11"/>
  <c r="U54" i="11" s="1"/>
  <c r="AC54" i="13" l="1"/>
  <c r="AD5" i="13"/>
  <c r="L74" i="18"/>
  <c r="U60" i="11"/>
  <c r="AD56" i="13" l="1"/>
  <c r="AO5" i="13"/>
  <c r="AO54" i="13" s="1"/>
  <c r="AD54" i="13"/>
  <c r="AE5" i="13"/>
  <c r="AE54" i="13" l="1"/>
  <c r="L22" i="23"/>
  <c r="AK5" i="13"/>
  <c r="AK54" i="13" s="1"/>
  <c r="L24" i="23" l="1"/>
  <c r="B47" i="27"/>
</calcChain>
</file>

<file path=xl/sharedStrings.xml><?xml version="1.0" encoding="utf-8"?>
<sst xmlns="http://schemas.openxmlformats.org/spreadsheetml/2006/main" count="3581" uniqueCount="1000">
  <si>
    <t>Row Labels</t>
  </si>
  <si>
    <t>Sum of base_60</t>
  </si>
  <si>
    <t>Sum of sws_66</t>
  </si>
  <si>
    <t>Sum of spe_47</t>
  </si>
  <si>
    <t>Sum of dpia_61</t>
  </si>
  <si>
    <t>Sum of el_62</t>
  </si>
  <si>
    <t>Sum of cte_48</t>
  </si>
  <si>
    <t>Sum of tragur_63</t>
  </si>
  <si>
    <t>Sum of tra_sup_64</t>
  </si>
  <si>
    <t>Sum of tot_sta</t>
  </si>
  <si>
    <t>Sum of esc_6</t>
  </si>
  <si>
    <t>Sum of assoc_58</t>
  </si>
  <si>
    <t>Sum of caraw_65</t>
  </si>
  <si>
    <t>Sum of oth_pos_12</t>
  </si>
  <si>
    <t>Sum of oth_neg_12</t>
  </si>
  <si>
    <t>Sum of transfer</t>
  </si>
  <si>
    <t>Grand Total</t>
  </si>
  <si>
    <t>Calculation</t>
  </si>
  <si>
    <t>Variable</t>
  </si>
  <si>
    <t>Data used for FY24</t>
  </si>
  <si>
    <t>Data used for FY25</t>
  </si>
  <si>
    <t>Base Cost</t>
  </si>
  <si>
    <t>Average Salaries (s5a-s5j)</t>
  </si>
  <si>
    <t>Average Annual Employer-Paid Insurance (s4)</t>
  </si>
  <si>
    <t>Average Base Cost Per-Pupil for s6a-s6g</t>
  </si>
  <si>
    <t>Base cost Enrolled ADM (b)</t>
  </si>
  <si>
    <t>Greater of FY23 or average of (FY23, 22, 21)</t>
  </si>
  <si>
    <t>Greater of FY23 or average of (FY23, 23, 22)</t>
  </si>
  <si>
    <t>Number of School Buildings (a)</t>
  </si>
  <si>
    <t>FY23</t>
  </si>
  <si>
    <t>Detailed SFPR</t>
  </si>
  <si>
    <t>Enrolled ADM (a)</t>
  </si>
  <si>
    <t>Categorical FTEs (b-g)</t>
  </si>
  <si>
    <t>Statewide Average Base Cost Per Pupil (s1)</t>
  </si>
  <si>
    <t>FY22</t>
  </si>
  <si>
    <t>Statewide Average CTE Base Cost Per  Pupil (s2)</t>
  </si>
  <si>
    <t>Property Valuation</t>
  </si>
  <si>
    <t>TY22, 21, 20</t>
  </si>
  <si>
    <t>SpEd, EL and CTE Weights</t>
  </si>
  <si>
    <t>Same as FY22</t>
  </si>
  <si>
    <t>FY20 (same as FY23)</t>
  </si>
  <si>
    <t>FY21 (same as FY22)</t>
  </si>
  <si>
    <t>Summary SFPR</t>
  </si>
  <si>
    <t>General phase-in % - TRD, JVSD, CS</t>
  </si>
  <si>
    <t>DPIA phase-in % - TRD, JVSD (CS DPIA = general %)</t>
  </si>
  <si>
    <t xml:space="preserve"> </t>
  </si>
  <si>
    <t>SFPR</t>
  </si>
  <si>
    <t>Parameter</t>
  </si>
  <si>
    <t>FY18 $$</t>
  </si>
  <si>
    <t>FY19 $$</t>
  </si>
  <si>
    <t>FY20 $$</t>
  </si>
  <si>
    <t>FY21 $$</t>
  </si>
  <si>
    <t>FY22 $$</t>
  </si>
  <si>
    <t>% change between FY18 and FY22</t>
  </si>
  <si>
    <t>Statewide Average Salary</t>
  </si>
  <si>
    <t>s5a</t>
  </si>
  <si>
    <t>Superintendent</t>
  </si>
  <si>
    <t>s5b</t>
  </si>
  <si>
    <t>Other District Administrator</t>
  </si>
  <si>
    <t>s5c</t>
  </si>
  <si>
    <t>Principal</t>
  </si>
  <si>
    <t>s5d</t>
  </si>
  <si>
    <t>Teacher</t>
  </si>
  <si>
    <t>s5e</t>
  </si>
  <si>
    <t>Counselor</t>
  </si>
  <si>
    <t>s5f</t>
  </si>
  <si>
    <t>Librarian and Media staff</t>
  </si>
  <si>
    <t>s5g</t>
  </si>
  <si>
    <t>EMIS Support Staff Employee</t>
  </si>
  <si>
    <t>s5h</t>
  </si>
  <si>
    <t>Bookkeeping and Accounting Employee</t>
  </si>
  <si>
    <t>s5i</t>
  </si>
  <si>
    <t>Administrative Assistant</t>
  </si>
  <si>
    <t>s5j</t>
  </si>
  <si>
    <t>Clerical Staff</t>
  </si>
  <si>
    <t>Salary Related</t>
  </si>
  <si>
    <t>s4</t>
  </si>
  <si>
    <t>Insurance Cost</t>
  </si>
  <si>
    <t>Teacher Benefits</t>
  </si>
  <si>
    <t>Statewide Average Cost Per-Pupil</t>
  </si>
  <si>
    <t>s6a</t>
  </si>
  <si>
    <t>Academic Co-Curricular Activities </t>
  </si>
  <si>
    <t>s6b</t>
  </si>
  <si>
    <t>Athletic Co-Curricular Activities</t>
  </si>
  <si>
    <t>s6c</t>
  </si>
  <si>
    <t>Building Safety and Security </t>
  </si>
  <si>
    <t>s6d</t>
  </si>
  <si>
    <t>Supplies and Academic Content</t>
  </si>
  <si>
    <t>Building Square Feet Per-Pupil</t>
  </si>
  <si>
    <t>Cost Per Square Foot</t>
  </si>
  <si>
    <t>s6g</t>
  </si>
  <si>
    <t>Building</t>
  </si>
  <si>
    <t>FY25 Formula Cost using Base Cost parameters based on FY18 expenditures</t>
  </si>
  <si>
    <t>JVS IRN</t>
  </si>
  <si>
    <t xml:space="preserve">JVS Names </t>
  </si>
  <si>
    <t>County Name</t>
  </si>
  <si>
    <t>a . Base Cost Enrolled ADM</t>
  </si>
  <si>
    <t>b4. FTE enrolled in Career Technical Education (CTE) Program</t>
  </si>
  <si>
    <t>b5. Grades 6-8 FTE not in CTE Program</t>
  </si>
  <si>
    <t>b6. Grades 9-12 FTE not in CTE Program</t>
  </si>
  <si>
    <t>b7. Grades 9-12 FTE</t>
  </si>
  <si>
    <t>050773</t>
  </si>
  <si>
    <t>Apollo</t>
  </si>
  <si>
    <t>050799</t>
  </si>
  <si>
    <t>Southern Hills</t>
  </si>
  <si>
    <t>050815</t>
  </si>
  <si>
    <t>Ashtabula County Technical and Career Center</t>
  </si>
  <si>
    <t>050856</t>
  </si>
  <si>
    <t>Belmont-Harrison</t>
  </si>
  <si>
    <t>050880</t>
  </si>
  <si>
    <t>Butler Technology &amp; Career Development Schools</t>
  </si>
  <si>
    <t>050906</t>
  </si>
  <si>
    <t>Columbiana County</t>
  </si>
  <si>
    <t>050922</t>
  </si>
  <si>
    <t>Cuyahoga Valley Career Center</t>
  </si>
  <si>
    <t>050948</t>
  </si>
  <si>
    <t>Polaris</t>
  </si>
  <si>
    <t>050963</t>
  </si>
  <si>
    <t>Four County Career Center</t>
  </si>
  <si>
    <t>050989</t>
  </si>
  <si>
    <t>Delaware Area Career Center</t>
  </si>
  <si>
    <t>051003</t>
  </si>
  <si>
    <t>Eastland-Fairfield Career &amp; Technical Schools</t>
  </si>
  <si>
    <t>051029</t>
  </si>
  <si>
    <t>EHOVE Career Center</t>
  </si>
  <si>
    <t>051045</t>
  </si>
  <si>
    <t>Greene County Vocational School District</t>
  </si>
  <si>
    <t>051060</t>
  </si>
  <si>
    <t>Great Oaks Career Campuses</t>
  </si>
  <si>
    <t>051128</t>
  </si>
  <si>
    <t>Jefferson County</t>
  </si>
  <si>
    <t>051144</t>
  </si>
  <si>
    <t>Knox County JVSD</t>
  </si>
  <si>
    <t>051169</t>
  </si>
  <si>
    <t>Auburn</t>
  </si>
  <si>
    <t>051185</t>
  </si>
  <si>
    <t>Lawrence County</t>
  </si>
  <si>
    <t>051201</t>
  </si>
  <si>
    <t>Career and Technology Educational Centers</t>
  </si>
  <si>
    <t>051227</t>
  </si>
  <si>
    <t>Lorain County JVS</t>
  </si>
  <si>
    <t>051243</t>
  </si>
  <si>
    <t>Mahoning Co Career &amp; Tech Ctr</t>
  </si>
  <si>
    <t>051284</t>
  </si>
  <si>
    <t>Miami Valley Career Tech</t>
  </si>
  <si>
    <t>051300</t>
  </si>
  <si>
    <t>Mid-East Career and Technology Centers</t>
  </si>
  <si>
    <t>051334</t>
  </si>
  <si>
    <t>Ohio Hi-Point Career Center</t>
  </si>
  <si>
    <t>051359</t>
  </si>
  <si>
    <t>Penta Career Center - District</t>
  </si>
  <si>
    <t>051375</t>
  </si>
  <si>
    <t>Pike County Area</t>
  </si>
  <si>
    <t>051391</t>
  </si>
  <si>
    <t>Maplewood Career Center District</t>
  </si>
  <si>
    <t>051417</t>
  </si>
  <si>
    <t>Pioneer Career &amp; Technology</t>
  </si>
  <si>
    <t>051433</t>
  </si>
  <si>
    <t>Pickaway-Ross County JVSD</t>
  </si>
  <si>
    <t>051458</t>
  </si>
  <si>
    <t>Vanguard-Sentinel Career &amp; Technology Centers</t>
  </si>
  <si>
    <t>051474</t>
  </si>
  <si>
    <t>Warren County Vocational School</t>
  </si>
  <si>
    <t>051490</t>
  </si>
  <si>
    <t>Scioto County Career Technical Center</t>
  </si>
  <si>
    <t>051532</t>
  </si>
  <si>
    <t>Springfield-Clark County</t>
  </si>
  <si>
    <t>051607</t>
  </si>
  <si>
    <t>Tri-County Career Center</t>
  </si>
  <si>
    <t>051631</t>
  </si>
  <si>
    <t>Trumbull Career &amp; Tech Ctr</t>
  </si>
  <si>
    <t>051656</t>
  </si>
  <si>
    <t>Buckeye</t>
  </si>
  <si>
    <t>051672</t>
  </si>
  <si>
    <t>Vantage Career Center</t>
  </si>
  <si>
    <t>051698</t>
  </si>
  <si>
    <t>Washington County Career Center</t>
  </si>
  <si>
    <t>051714</t>
  </si>
  <si>
    <t>Wayne County JVSD</t>
  </si>
  <si>
    <t>062026</t>
  </si>
  <si>
    <t>Stark County Area</t>
  </si>
  <si>
    <t>062042</t>
  </si>
  <si>
    <t>Ashland County-West Holmes</t>
  </si>
  <si>
    <t>062067</t>
  </si>
  <si>
    <t>Gallia-Jackson-Vinton</t>
  </si>
  <si>
    <t>062109</t>
  </si>
  <si>
    <t>Medina County Joint Vocational School District</t>
  </si>
  <si>
    <t>062125</t>
  </si>
  <si>
    <t>Upper Valley Career Center</t>
  </si>
  <si>
    <t>062802</t>
  </si>
  <si>
    <t>U S Grant</t>
  </si>
  <si>
    <t>063495</t>
  </si>
  <si>
    <t xml:space="preserve">Portage Lakes </t>
  </si>
  <si>
    <t>063511</t>
  </si>
  <si>
    <t>Tolles Career &amp; Technical Center</t>
  </si>
  <si>
    <t>065227</t>
  </si>
  <si>
    <t>Coshocton County</t>
  </si>
  <si>
    <t>065268</t>
  </si>
  <si>
    <t>Tri-Rivers</t>
  </si>
  <si>
    <t xml:space="preserve">b4. Base Cost Enrolled ADM Grades 9-12 </t>
  </si>
  <si>
    <t xml:space="preserve">Funded Classroom Teacher </t>
  </si>
  <si>
    <t xml:space="preserve">b. Base Cost Enrolled ADM
</t>
  </si>
  <si>
    <t>Allen</t>
  </si>
  <si>
    <t>Brown</t>
  </si>
  <si>
    <t>Ashtabula</t>
  </si>
  <si>
    <t>Belmont</t>
  </si>
  <si>
    <t>Butler</t>
  </si>
  <si>
    <t>Columbiana</t>
  </si>
  <si>
    <t>Cuyahoga</t>
  </si>
  <si>
    <t>Henry</t>
  </si>
  <si>
    <t>Delaware</t>
  </si>
  <si>
    <t>Franklin</t>
  </si>
  <si>
    <t>Erie</t>
  </si>
  <si>
    <t>Greene</t>
  </si>
  <si>
    <t>Hamilton</t>
  </si>
  <si>
    <t>Jefferson</t>
  </si>
  <si>
    <t>Knox</t>
  </si>
  <si>
    <t>Lake</t>
  </si>
  <si>
    <t>Lawrence</t>
  </si>
  <si>
    <t>Licking</t>
  </si>
  <si>
    <t>Lorain</t>
  </si>
  <si>
    <t>Mahoning</t>
  </si>
  <si>
    <t>Montgomery</t>
  </si>
  <si>
    <t>Muskingum</t>
  </si>
  <si>
    <t>Logan</t>
  </si>
  <si>
    <t>Wood</t>
  </si>
  <si>
    <t>Pike</t>
  </si>
  <si>
    <t>Portage</t>
  </si>
  <si>
    <t>Richland</t>
  </si>
  <si>
    <t>Ross</t>
  </si>
  <si>
    <t>Sandusky</t>
  </si>
  <si>
    <t>Warren</t>
  </si>
  <si>
    <t>Scioto</t>
  </si>
  <si>
    <t>Clark</t>
  </si>
  <si>
    <t>Athens</t>
  </si>
  <si>
    <t>Trumbull</t>
  </si>
  <si>
    <t>Tuscarawas</t>
  </si>
  <si>
    <t>Van Wert</t>
  </si>
  <si>
    <t>Washington</t>
  </si>
  <si>
    <t>Wayne</t>
  </si>
  <si>
    <t>Stark</t>
  </si>
  <si>
    <t>Ashland</t>
  </si>
  <si>
    <t>Gallia</t>
  </si>
  <si>
    <t>Medina</t>
  </si>
  <si>
    <t>Miami</t>
  </si>
  <si>
    <t>Clermont</t>
  </si>
  <si>
    <t>Summit</t>
  </si>
  <si>
    <t>Madison</t>
  </si>
  <si>
    <t>Coshocton</t>
  </si>
  <si>
    <t>Marion</t>
  </si>
  <si>
    <t>State of Ohio</t>
  </si>
  <si>
    <t>Employer paid Insurance cost</t>
  </si>
  <si>
    <t>Counselor Salary</t>
  </si>
  <si>
    <t>Bld and safety security</t>
  </si>
  <si>
    <t>EMIS Support Employee</t>
  </si>
  <si>
    <t xml:space="preserve">Superintendent </t>
  </si>
  <si>
    <t>don't delete or change</t>
  </si>
  <si>
    <t>Building Safety and Security</t>
  </si>
  <si>
    <t>Teacher	  Salary</t>
  </si>
  <si>
    <t>Librarian and Media Staff</t>
  </si>
  <si>
    <t>Supplies and Aca Cont</t>
  </si>
  <si>
    <t xml:space="preserve">Bookkeeping and Accounting Employee </t>
  </si>
  <si>
    <t xml:space="preserve">Other District Administrator </t>
  </si>
  <si>
    <t>Average CTE Base Cost Per-Pupil</t>
  </si>
  <si>
    <t>Aca Co-Curricular Activities</t>
  </si>
  <si>
    <t>s6e</t>
  </si>
  <si>
    <t>Technology</t>
  </si>
  <si>
    <t xml:space="preserve">Administrative Assistant </t>
  </si>
  <si>
    <t>Ath Co-Curricular Activities</t>
  </si>
  <si>
    <t>s6f</t>
  </si>
  <si>
    <t>ITC</t>
  </si>
  <si>
    <t xml:space="preserve">A1a. Funded Classroom Teacher </t>
  </si>
  <si>
    <t xml:space="preserve">A1b. Average Teacher Base Cost </t>
  </si>
  <si>
    <t>A1. Classroom Teacher Base Cost</t>
  </si>
  <si>
    <t xml:space="preserve">A2a. Specials Teacher </t>
  </si>
  <si>
    <t xml:space="preserve">A2. Career Readiness Teacher Cost </t>
  </si>
  <si>
    <t xml:space="preserve">A3a. Teacher Daily Rate </t>
  </si>
  <si>
    <t xml:space="preserve">A3. Substitute Teacher Cost </t>
  </si>
  <si>
    <t xml:space="preserve">A4. Professional Dev Cost </t>
  </si>
  <si>
    <t xml:space="preserve">A. Teacher Base Cost </t>
  </si>
  <si>
    <t>B1a. Funded Guidence Counsel</t>
  </si>
  <si>
    <t xml:space="preserve">B1. Guidance Counselor Cost </t>
  </si>
  <si>
    <t>B2b. FND lib and Media staff</t>
  </si>
  <si>
    <t>B2. Lib &amp; Media Staff Cost</t>
  </si>
  <si>
    <t>B3a. Funded SWS staff</t>
  </si>
  <si>
    <t>B3. SWS Cost</t>
  </si>
  <si>
    <t>B4. CTE Support Cost</t>
  </si>
  <si>
    <t>B5. Bld and Safety Security Cost</t>
  </si>
  <si>
    <t>B6. Supp &amp; Aca Cont Cost</t>
  </si>
  <si>
    <t xml:space="preserve">B7. Technology Cost </t>
  </si>
  <si>
    <t xml:space="preserve">B. Student Support Base Cost </t>
  </si>
  <si>
    <t>C1. Superintendent Cost</t>
  </si>
  <si>
    <t>C2. Treasurer Cost</t>
  </si>
  <si>
    <t>C3a. Fiscal Support Staff</t>
  </si>
  <si>
    <t>C3b. Min Fiscal Support Staff</t>
  </si>
  <si>
    <t>C3. Other Dist. Admin Cost</t>
  </si>
  <si>
    <t>C4a. Min Fiscal Support Staff</t>
  </si>
  <si>
    <t>C4b. Min Fiscal Support Staff</t>
  </si>
  <si>
    <t>C4. Fiscal Support Cost</t>
  </si>
  <si>
    <t xml:space="preserve">C5a. Funded EMIS Support </t>
  </si>
  <si>
    <t xml:space="preserve">C5. EMIS Support Cost </t>
  </si>
  <si>
    <t xml:space="preserve">C6a. Leadership Support </t>
  </si>
  <si>
    <t xml:space="preserve">C6b. FND Leadership Support </t>
  </si>
  <si>
    <t xml:space="preserve">C6. Leadership Support Cost </t>
  </si>
  <si>
    <t>C7. ITC Support</t>
  </si>
  <si>
    <t xml:space="preserve">C. Leadership &amp; Acc Base Cost </t>
  </si>
  <si>
    <t>D1a. Princi and Supernt Saylary Ratio</t>
  </si>
  <si>
    <t>D1b. FND Bld leaders</t>
  </si>
  <si>
    <t xml:space="preserve">D1. Building Leadership Cost  </t>
  </si>
  <si>
    <t>D2a. Bld Leader supp std Ratio</t>
  </si>
  <si>
    <t>Number of Building</t>
  </si>
  <si>
    <t>D2b.FND  Bld Leader supp std Ratio</t>
  </si>
  <si>
    <t xml:space="preserve">D2. Building Leadership Support Cost </t>
  </si>
  <si>
    <t>D3. Building Operation Cost</t>
  </si>
  <si>
    <t>D. Bld Leadership &amp; Operations Base Cost</t>
  </si>
  <si>
    <t xml:space="preserve">E. Aggregate Base Cost </t>
  </si>
  <si>
    <t>SWS Ratio</t>
  </si>
  <si>
    <t>***</t>
  </si>
  <si>
    <t>N/A</t>
  </si>
  <si>
    <t>General Phase in Pct (%)</t>
  </si>
  <si>
    <t>DPIA Phase in Pct (%)</t>
  </si>
  <si>
    <t>A. State Share Base Cost</t>
  </si>
  <si>
    <t xml:space="preserve">B. Special Education Aid </t>
  </si>
  <si>
    <t xml:space="preserve">C. Disadvantaged Pupil Impact Aid (DPIA) </t>
  </si>
  <si>
    <t xml:space="preserve">D. English Learners </t>
  </si>
  <si>
    <t xml:space="preserve">E. Career Technical Education </t>
  </si>
  <si>
    <t xml:space="preserve">F1. Core Foundation Funding Before Phase-in </t>
  </si>
  <si>
    <t>FY20 SFPR Line A</t>
  </si>
  <si>
    <t>FY20 SFPR Line E</t>
  </si>
  <si>
    <t xml:space="preserve">F2. Funding Base </t>
  </si>
  <si>
    <t>F3. DPIA Base</t>
  </si>
  <si>
    <t xml:space="preserve">F4. General Funding Base [F2-F3] </t>
  </si>
  <si>
    <t xml:space="preserve">F. Core Foundation Funding </t>
  </si>
  <si>
    <t xml:space="preserve">G. Temporary Transitional Aid Guarantee </t>
  </si>
  <si>
    <t xml:space="preserve">FY21 SFPR Line C </t>
  </si>
  <si>
    <t>FY21 Line E</t>
  </si>
  <si>
    <t xml:space="preserve">H1. FY21 Funding Base </t>
  </si>
  <si>
    <t xml:space="preserve">H. Formula Transition Supplement </t>
  </si>
  <si>
    <t xml:space="preserve">I. Total State Support </t>
  </si>
  <si>
    <t xml:space="preserve">General Phase in </t>
  </si>
  <si>
    <t>SWS pct</t>
  </si>
  <si>
    <t xml:space="preserve">DPIA Phase in </t>
  </si>
  <si>
    <t>Base State Funding</t>
  </si>
  <si>
    <t xml:space="preserve">New State funding </t>
  </si>
  <si>
    <t>Foundation Formula Funding (FY20 Final #2)</t>
  </si>
  <si>
    <t>Open Enrollment Adjustment (FY20 Final #2)</t>
  </si>
  <si>
    <t>CTE Portion of Open Enrollment Adjustment (FY20 Final #2)</t>
  </si>
  <si>
    <t>Career Technical Education (Equal to FY19 Amount)</t>
  </si>
  <si>
    <t>Ea. Career Technical Education (Equal to FY19 Amount + FY20 CTE Open Enrollment Funding)</t>
  </si>
  <si>
    <t>Ca.Disadvantaged Pupil Impact (DPIA)</t>
  </si>
  <si>
    <t>General Funding Base</t>
  </si>
  <si>
    <t>Da. English Learners</t>
  </si>
  <si>
    <t>Ba. Special Education</t>
  </si>
  <si>
    <t>Aa. Base Cost</t>
  </si>
  <si>
    <t>Ab. Basic Aid</t>
  </si>
  <si>
    <t>Cb.Disadvantaged Pupil Impact (DPIA)</t>
  </si>
  <si>
    <t>Db. English Learners</t>
  </si>
  <si>
    <t>Bb. Special Education</t>
  </si>
  <si>
    <t>Eb. Total Career technical Education</t>
  </si>
  <si>
    <t>Ac. Basic Aid Phase in Amt</t>
  </si>
  <si>
    <t>Cc. (DPIA) Phase in Amt</t>
  </si>
  <si>
    <t>Dc. English Learners Phase In Amt</t>
  </si>
  <si>
    <t>Bc. Special Education Phase in Amt</t>
  </si>
  <si>
    <t>Ec. Career technical Education Phase in Amt</t>
  </si>
  <si>
    <t>F. Core Foundation Funding [A + B + C + D + E]</t>
  </si>
  <si>
    <t>Funding Base FY20 Line A + Line E</t>
  </si>
  <si>
    <t xml:space="preserve"> FY21 Funding Base </t>
  </si>
  <si>
    <t>I. Total State Support [F + G + H]</t>
  </si>
  <si>
    <t xml:space="preserve">J. ESC </t>
  </si>
  <si>
    <t xml:space="preserve">K. CTE Associated Services	</t>
  </si>
  <si>
    <t>L. Career Awareness and Exploration</t>
  </si>
  <si>
    <t>M.Other Adjustments</t>
  </si>
  <si>
    <t>N. Total Transfers [J + K + L + M]</t>
  </si>
  <si>
    <t xml:space="preserve">O. Net State Funding [I + N]	</t>
  </si>
  <si>
    <t>FY22 SWS Funding</t>
  </si>
  <si>
    <t>SWS Funding</t>
  </si>
  <si>
    <t>Either Guarantee</t>
  </si>
  <si>
    <t>Total Assessed Valuation TY23 Projected</t>
  </si>
  <si>
    <t>Total Assessed Valuation TY21</t>
  </si>
  <si>
    <t>3 Years  Average Valuation</t>
  </si>
  <si>
    <t>Valuation Lesser of Current and 3 yrs avg</t>
  </si>
  <si>
    <t xml:space="preserve">A1. Aggregate Base Cost </t>
  </si>
  <si>
    <t xml:space="preserve">A2. Local Share Amount </t>
  </si>
  <si>
    <t xml:space="preserve">A3. State Share Percentage </t>
  </si>
  <si>
    <t>[s3] Avg Base Cost Per Pupil</t>
  </si>
  <si>
    <t>Weight Cat1</t>
  </si>
  <si>
    <t>Weight Cat2</t>
  </si>
  <si>
    <t>Weight Cat3</t>
  </si>
  <si>
    <t>Weight Cat4</t>
  </si>
  <si>
    <t>Weight Cat5</t>
  </si>
  <si>
    <t>Weight Cat6</t>
  </si>
  <si>
    <t xml:space="preserve">State Share Percentage </t>
  </si>
  <si>
    <t xml:space="preserve">Category 1 Special Education ADM </t>
  </si>
  <si>
    <t>Category 2 Special Education ADM</t>
  </si>
  <si>
    <t>Category 3 Special Education ADM</t>
  </si>
  <si>
    <t>Category 4 Special Education ADM</t>
  </si>
  <si>
    <t>Category 5 Special Education ADM</t>
  </si>
  <si>
    <t>Category 6 Special Education ADM</t>
  </si>
  <si>
    <t>Category 1 Special Education Aid</t>
  </si>
  <si>
    <t xml:space="preserve">Category 2 Special Education Aid </t>
  </si>
  <si>
    <t xml:space="preserve">Category 3 Special Education Aid </t>
  </si>
  <si>
    <t>Category 4 Special Education Aid</t>
  </si>
  <si>
    <t>Category 5 Special Education Aid</t>
  </si>
  <si>
    <t xml:space="preserve">Category 6 Special Education Aid </t>
  </si>
  <si>
    <t xml:space="preserve">Total Special Education Aid </t>
  </si>
  <si>
    <t xml:space="preserve">Total Special Education ADM </t>
  </si>
  <si>
    <t>DPIA Per- Pupil Amount</t>
  </si>
  <si>
    <t>Statewide DPIA percentage</t>
  </si>
  <si>
    <t>Enrolled ADM</t>
  </si>
  <si>
    <t>Economically Disadvantaged ADM</t>
  </si>
  <si>
    <t xml:space="preserve">Economically Disadvantaged Percentage </t>
  </si>
  <si>
    <t xml:space="preserve">Economically Disadvantaged Index </t>
  </si>
  <si>
    <t xml:space="preserve">Disadvantaged Pupil Impact Aid (DPIA) </t>
  </si>
  <si>
    <t>Weight Cat 1</t>
  </si>
  <si>
    <t>Weight Cat 2</t>
  </si>
  <si>
    <t>Weight Cat 3</t>
  </si>
  <si>
    <t>Average Base Cost Per-Pupil</t>
  </si>
  <si>
    <t>Category 1 EL ADM-FY21</t>
  </si>
  <si>
    <t>Category 2 EL ADM-FY21</t>
  </si>
  <si>
    <t>Category 3 EL ADM-FY21</t>
  </si>
  <si>
    <t>Total EL ADM</t>
  </si>
  <si>
    <t>Category 1 EL Funding</t>
  </si>
  <si>
    <t>Category 2 EL Funding</t>
  </si>
  <si>
    <t>Category 3 EL Funding</t>
  </si>
  <si>
    <t>Total EL funding</t>
  </si>
  <si>
    <t>Assoc Weight</t>
  </si>
  <si>
    <t xml:space="preserve"> Category 1 Career Tech FTE-FY21</t>
  </si>
  <si>
    <t xml:space="preserve"> Category 2 Career Tech FTE-FY21</t>
  </si>
  <si>
    <t xml:space="preserve"> Category 3 Career Tech FTE-FY21</t>
  </si>
  <si>
    <t xml:space="preserve"> Category 4 Career Tech FTE-FY21</t>
  </si>
  <si>
    <t xml:space="preserve"> Category 5 Career Tech FTE-FY21</t>
  </si>
  <si>
    <t xml:space="preserve"> Category 1 Career Tech Funding</t>
  </si>
  <si>
    <t xml:space="preserve"> Category 2 Career Tech Funding</t>
  </si>
  <si>
    <t xml:space="preserve"> Category 3 Career Tech Funding</t>
  </si>
  <si>
    <t xml:space="preserve"> Category 4 Career Tech Funding</t>
  </si>
  <si>
    <t xml:space="preserve"> Category 5 Career Tech Funding</t>
  </si>
  <si>
    <t>Category 1-5 CTE Funding</t>
  </si>
  <si>
    <t>Total CTE FTE</t>
  </si>
  <si>
    <t xml:space="preserve">CTE Associated Services </t>
  </si>
  <si>
    <t>Total CTE Funding</t>
  </si>
  <si>
    <t>Ohio Department of Education</t>
  </si>
  <si>
    <t xml:space="preserve">Office Of Budget and School Funding </t>
  </si>
  <si>
    <t>County:</t>
  </si>
  <si>
    <t>Statewide Factors</t>
  </si>
  <si>
    <t>s1</t>
  </si>
  <si>
    <t>s2</t>
  </si>
  <si>
    <t>Average Career-Technical Base Cost Per-Pupil</t>
  </si>
  <si>
    <t>s3</t>
  </si>
  <si>
    <t>JVSD Economic Disadvantaged Percentage</t>
  </si>
  <si>
    <t xml:space="preserve">District Factors </t>
  </si>
  <si>
    <t xml:space="preserve">a </t>
  </si>
  <si>
    <t xml:space="preserve">Enrolled ADM  </t>
  </si>
  <si>
    <t xml:space="preserve">b </t>
  </si>
  <si>
    <t>Special Education ADM [b1 + b2 + b3 + b4 + b5 + b6]</t>
  </si>
  <si>
    <t xml:space="preserve">b1 </t>
  </si>
  <si>
    <t xml:space="preserve">Category 1 </t>
  </si>
  <si>
    <t xml:space="preserve">b2 </t>
  </si>
  <si>
    <t xml:space="preserve">Category 2 </t>
  </si>
  <si>
    <t xml:space="preserve">b3 </t>
  </si>
  <si>
    <t xml:space="preserve">Category 3 </t>
  </si>
  <si>
    <t xml:space="preserve">b4 </t>
  </si>
  <si>
    <t xml:space="preserve">Category 4 </t>
  </si>
  <si>
    <t>b5</t>
  </si>
  <si>
    <t xml:space="preserve">Category 5 </t>
  </si>
  <si>
    <t xml:space="preserve">b6 </t>
  </si>
  <si>
    <t xml:space="preserve">Category 6 </t>
  </si>
  <si>
    <t xml:space="preserve">c </t>
  </si>
  <si>
    <t>Disadvantaged Pupil Impact Aid (DPIA) Data</t>
  </si>
  <si>
    <t xml:space="preserve">c1 </t>
  </si>
  <si>
    <t xml:space="preserve">Economic Disadvantaged ADM  </t>
  </si>
  <si>
    <t xml:space="preserve">c2 </t>
  </si>
  <si>
    <t>Economic Disadvantaged Percentage</t>
  </si>
  <si>
    <t xml:space="preserve">c3 </t>
  </si>
  <si>
    <t>Economic Disadvantaged Index [(e2/s)^2]</t>
  </si>
  <si>
    <t xml:space="preserve">d </t>
  </si>
  <si>
    <t>English Learners ADM [d1+d2+d3]</t>
  </si>
  <si>
    <t xml:space="preserve">d1 </t>
  </si>
  <si>
    <t xml:space="preserve">d2 </t>
  </si>
  <si>
    <t xml:space="preserve">d3 </t>
  </si>
  <si>
    <t xml:space="preserve">e </t>
  </si>
  <si>
    <t>Career Technical Education FTE [e1+e2+e3+e4+e5]</t>
  </si>
  <si>
    <t xml:space="preserve">c4 </t>
  </si>
  <si>
    <t xml:space="preserve">c5 </t>
  </si>
  <si>
    <t xml:space="preserve"> f </t>
  </si>
  <si>
    <t xml:space="preserve">g </t>
  </si>
  <si>
    <t>h</t>
  </si>
  <si>
    <t>District Property Valuation [lesser of f and g]</t>
  </si>
  <si>
    <t xml:space="preserve">Detailed Calculation </t>
  </si>
  <si>
    <t xml:space="preserve">A </t>
  </si>
  <si>
    <t>A1</t>
  </si>
  <si>
    <t>A2</t>
  </si>
  <si>
    <t>Local Share Amount [h*0.0005]</t>
  </si>
  <si>
    <t>A3</t>
  </si>
  <si>
    <t xml:space="preserve">B </t>
  </si>
  <si>
    <t>Special Education [B1+B2+B3+B4+B5+B6]</t>
  </si>
  <si>
    <t xml:space="preserve">B1 </t>
  </si>
  <si>
    <t>Category 1 [b1*0.2435*s1*A3]</t>
  </si>
  <si>
    <t xml:space="preserve">B2 </t>
  </si>
  <si>
    <t>Category 2 [b2*0.6179*s1*A3]</t>
  </si>
  <si>
    <t xml:space="preserve">B3 </t>
  </si>
  <si>
    <t>Category 3 [b3*1.4845*s1*A3]</t>
  </si>
  <si>
    <t xml:space="preserve">B4 </t>
  </si>
  <si>
    <t>Category 4 [b4*1.9812*s1*A3]</t>
  </si>
  <si>
    <t xml:space="preserve">B5 </t>
  </si>
  <si>
    <t>Category 5 [b5*2.6830*s1*A3]</t>
  </si>
  <si>
    <t xml:space="preserve">B6 </t>
  </si>
  <si>
    <t>Category 6 [b6*3.9554*s1*A3]</t>
  </si>
  <si>
    <t xml:space="preserve">C </t>
  </si>
  <si>
    <t>Disadvantaged Pupil Impact Aid (DPIA) [$422*c1*c3]</t>
  </si>
  <si>
    <t xml:space="preserve">D </t>
  </si>
  <si>
    <t>English Learners [D1+D2+D3]</t>
  </si>
  <si>
    <t xml:space="preserve">D1 </t>
  </si>
  <si>
    <t>Category 1 [d1*0.2104*s1*A3]</t>
  </si>
  <si>
    <t xml:space="preserve">D2 </t>
  </si>
  <si>
    <t>Category 2 [d2*0.1577*s1*A3]</t>
  </si>
  <si>
    <t xml:space="preserve">D3 </t>
  </si>
  <si>
    <t>Category 3 [d3*0.1053*s1*A3]</t>
  </si>
  <si>
    <t xml:space="preserve">E </t>
  </si>
  <si>
    <t xml:space="preserve">Career Technical Education [E1+E2+E3+E4+E5+E6] </t>
  </si>
  <si>
    <t xml:space="preserve">E1 </t>
  </si>
  <si>
    <t>Category 1 [e1*0.6230*s2*A3]</t>
  </si>
  <si>
    <t xml:space="preserve">E2 </t>
  </si>
  <si>
    <t>Category 2 [e2*0.5905*s2*A3]</t>
  </si>
  <si>
    <t xml:space="preserve">E3 </t>
  </si>
  <si>
    <t>Category 3 [e3*0.2154*s2*A3]</t>
  </si>
  <si>
    <t xml:space="preserve">E4 </t>
  </si>
  <si>
    <t>Category 4 [e4*0.1830*s2*A3]</t>
  </si>
  <si>
    <t xml:space="preserve">E5 </t>
  </si>
  <si>
    <t>Category 5 [e5*0.1570*s2*A3]</t>
  </si>
  <si>
    <t xml:space="preserve">E6 </t>
  </si>
  <si>
    <t>Associated Services [e*0.0294*s2*A3]</t>
  </si>
  <si>
    <t xml:space="preserve">F </t>
  </si>
  <si>
    <t>F1</t>
  </si>
  <si>
    <t>Core Foundation Funding Before Phase-in [A+B+C+D+E]</t>
  </si>
  <si>
    <t>F2</t>
  </si>
  <si>
    <t>Funding Base [FY20 SFPR Line A + Line E]</t>
  </si>
  <si>
    <t>F3</t>
  </si>
  <si>
    <t>Disadvantaged Pupil Impact Aid (DPIA) Base [FY19 SFPR Line B]</t>
  </si>
  <si>
    <t>F4</t>
  </si>
  <si>
    <t xml:space="preserve">General Funding Base [F2-F3] </t>
  </si>
  <si>
    <t xml:space="preserve">G </t>
  </si>
  <si>
    <t>Temporary Transitional Aid Guarantee [If F2&gt;F then F2-F else 0]</t>
  </si>
  <si>
    <t xml:space="preserve">H </t>
  </si>
  <si>
    <t>Formula Transition Supplement [greater of [H1-(F+G)] and 0]</t>
  </si>
  <si>
    <t>H1</t>
  </si>
  <si>
    <t>FY21 Funding Base [FY21 SFPR Line C + Line E]</t>
  </si>
  <si>
    <t xml:space="preserve">I </t>
  </si>
  <si>
    <t>Total State Support [F+G+H]</t>
  </si>
  <si>
    <t xml:space="preserve"> IRN:</t>
  </si>
  <si>
    <t>School Name:</t>
  </si>
  <si>
    <t>[a] Base State Funding</t>
  </si>
  <si>
    <t>[b] Calculated State Funding</t>
  </si>
  <si>
    <t>[d= (a+c)] State Funding</t>
  </si>
  <si>
    <t>State Support</t>
  </si>
  <si>
    <t>A</t>
  </si>
  <si>
    <t>B</t>
  </si>
  <si>
    <t>Special Education</t>
  </si>
  <si>
    <t>C</t>
  </si>
  <si>
    <t>Disadvantaged Pupil Impact Aid (DPIA)</t>
  </si>
  <si>
    <t>D</t>
  </si>
  <si>
    <t>English Learners</t>
  </si>
  <si>
    <t>E</t>
  </si>
  <si>
    <t>Career Technical Education</t>
  </si>
  <si>
    <t>F</t>
  </si>
  <si>
    <t>Core Foundation Funding [A + B + C + D + E]</t>
  </si>
  <si>
    <t>G</t>
  </si>
  <si>
    <t>Temporary Transitional Aid Guarantee</t>
  </si>
  <si>
    <t>H</t>
  </si>
  <si>
    <t>Formula Transition Supplement</t>
  </si>
  <si>
    <t>I</t>
  </si>
  <si>
    <t xml:space="preserve">Total State Support [F +G + H] </t>
  </si>
  <si>
    <t>J</t>
  </si>
  <si>
    <t>K</t>
  </si>
  <si>
    <t>L</t>
  </si>
  <si>
    <t>M</t>
  </si>
  <si>
    <t>N</t>
  </si>
  <si>
    <t>Disclosure</t>
  </si>
  <si>
    <t>Base Cost - Student Wellness and Success</t>
  </si>
  <si>
    <t>Phase-in Funding:</t>
  </si>
  <si>
    <t>Base Cost - Joint Vocational School District</t>
  </si>
  <si>
    <t>July Payment-Date: **/**/2022</t>
  </si>
  <si>
    <t>IRN:</t>
  </si>
  <si>
    <t>JVSD Base Cost Enrolled ADM</t>
  </si>
  <si>
    <t>Aggregate JVSD Base Cost</t>
  </si>
  <si>
    <t>Average Career-Technical Base Cost Per-Pupil [s2/s1]</t>
  </si>
  <si>
    <t xml:space="preserve">Average Annual Employer-Paid Insurance Cost </t>
  </si>
  <si>
    <t>s5</t>
  </si>
  <si>
    <t>Average Salary of</t>
  </si>
  <si>
    <t>s6</t>
  </si>
  <si>
    <t>Average Base Cost Per-Pupil For</t>
  </si>
  <si>
    <t>Academic Co-Curricular Activities</t>
  </si>
  <si>
    <t>ITC Support</t>
  </si>
  <si>
    <t>Number of School Buildings</t>
  </si>
  <si>
    <t>b</t>
  </si>
  <si>
    <t>Base Cost Enrolled ADM [b1+b2+b3] [greater of ((FY19 + FY20 +FY21)/3) and FY21]</t>
  </si>
  <si>
    <t>b1</t>
  </si>
  <si>
    <t>FTE enrolled in Career Technical Education (CTE) Program</t>
  </si>
  <si>
    <t>b2</t>
  </si>
  <si>
    <t>Grades 6-8 FTE not in CTE Program</t>
  </si>
  <si>
    <t>b3</t>
  </si>
  <si>
    <t>Grades 9-12 FTE not in CTE Program</t>
  </si>
  <si>
    <t>b4</t>
  </si>
  <si>
    <t>Grades 9-12 FTE</t>
  </si>
  <si>
    <t>Teacher Base Cost [A1+A2+A3+A4]</t>
  </si>
  <si>
    <t xml:space="preserve">A1 </t>
  </si>
  <si>
    <t>Classroom Teacher Base Cost [A1a*A1b]</t>
  </si>
  <si>
    <t>A1a</t>
  </si>
  <si>
    <t xml:space="preserve">Funded Classroom Teachers [(b1/18)+(b2/25)+(b3/27)] </t>
  </si>
  <si>
    <t>A1b</t>
  </si>
  <si>
    <t>Average Teacher Base Cost [(s5d*1.16)+s4]</t>
  </si>
  <si>
    <t xml:space="preserve">A2 </t>
  </si>
  <si>
    <t>Career Readiness Teacher Cost [A2a*A1b]</t>
  </si>
  <si>
    <t>A2a</t>
  </si>
  <si>
    <t xml:space="preserve">Funded Career Readiness Teachers [greater of (b/150) and 6] </t>
  </si>
  <si>
    <t xml:space="preserve">Substitute Teacher Cost [(A1a+A2a)*A3a*5] </t>
  </si>
  <si>
    <t>A3a</t>
  </si>
  <si>
    <t>Substitute Teacher Daily Rate [$90*1.16]</t>
  </si>
  <si>
    <t xml:space="preserve">A4 </t>
  </si>
  <si>
    <t xml:space="preserve">Professional Development Cost [(A1a+A2a)*((s5d*1.16)/180)*4] </t>
  </si>
  <si>
    <t>Student Support Base Cost [B1+B2+B3+B4+B5+B6+B7]</t>
  </si>
  <si>
    <t>B1</t>
  </si>
  <si>
    <t xml:space="preserve">Guidance Counselor Cost [B1a*((s5e *1.16)+ s4)] </t>
  </si>
  <si>
    <t>B1a</t>
  </si>
  <si>
    <t>Funded Guidance Counselors [greater of (b4/360) and 1]</t>
  </si>
  <si>
    <t>B2</t>
  </si>
  <si>
    <t xml:space="preserve">Librarian and Media Staff Cost [B2a*((s5f *1.16)+ s4)] </t>
  </si>
  <si>
    <t>B2a</t>
  </si>
  <si>
    <t>Funded Librarian and Media Staff [b/1000]</t>
  </si>
  <si>
    <t>B3</t>
  </si>
  <si>
    <t xml:space="preserve">Student Wellness and Success Cost [B3a*((s5e *1.16)+ s4)] </t>
  </si>
  <si>
    <t>B3a</t>
  </si>
  <si>
    <t xml:space="preserve">Funded Student Wellness and Success Staff [b/250] </t>
  </si>
  <si>
    <t>B4</t>
  </si>
  <si>
    <t>Career Technical Education Support Cost [(s6a + s6b)*b]</t>
  </si>
  <si>
    <t>B5</t>
  </si>
  <si>
    <t>Building Safety and Security Cost [s6c*b]</t>
  </si>
  <si>
    <t>B6</t>
  </si>
  <si>
    <t>Supplies and Academic Content Cost [s6d*b]</t>
  </si>
  <si>
    <t>B7</t>
  </si>
  <si>
    <t>Technology Cost [s6e*b]</t>
  </si>
  <si>
    <t>District Leadership and Accountability Base Cost [C1+C2+C3+C4+C5+C6+C7]</t>
  </si>
  <si>
    <t>C1</t>
  </si>
  <si>
    <t>Superintendent Cost</t>
  </si>
  <si>
    <t xml:space="preserve">[If b&gt;4,000 then (($160,000*1.16)+ s4)] </t>
  </si>
  <si>
    <t xml:space="preserve">[If (b&lt;=4,000 but b&gt;=500) then (b-500) * ((($160,000 *1.16)–($80,000*1.16))/3500)+($80,000*1.16)+ s4] </t>
  </si>
  <si>
    <t xml:space="preserve">[If b&lt;500 then (($80,000*1.16)+ s4)] </t>
  </si>
  <si>
    <t>C2</t>
  </si>
  <si>
    <t xml:space="preserve">Treasurer Cost </t>
  </si>
  <si>
    <t xml:space="preserve">[If b&gt;4,000 then ($130,000*1.16)+ s4] </t>
  </si>
  <si>
    <t xml:space="preserve">[if (b&lt;=4,000 but b&gt;=500) then (b–500)*((($130,000*1.16)–($60,000*1.16))/3500)+(($60,000*1.16)+ s4)] </t>
  </si>
  <si>
    <t xml:space="preserve">[If b&lt;500 then ($60,000*1.16)+ s4] </t>
  </si>
  <si>
    <t>C3</t>
  </si>
  <si>
    <t xml:space="preserve">Other District Administrator Cost [(((C1–s4)*(s5b/s5a))+s4)*C3a] </t>
  </si>
  <si>
    <t>C3a</t>
  </si>
  <si>
    <t>Funded Other District Administrators [greater of (b/750) and 2]</t>
  </si>
  <si>
    <t>C4</t>
  </si>
  <si>
    <t xml:space="preserve">Fiscal Support Cost [C4a*((s5h *1.16)+ s4)] </t>
  </si>
  <si>
    <t>C4a</t>
  </si>
  <si>
    <t xml:space="preserve">Funded Fiscal Support Staff [lesser of C4b and 35] </t>
  </si>
  <si>
    <t>C4b</t>
  </si>
  <si>
    <t xml:space="preserve">Minimum Fiscal Support Staff [greater of (b/850) and 2] </t>
  </si>
  <si>
    <t>C5</t>
  </si>
  <si>
    <t xml:space="preserve">EMIS Support Cost [C5a*((s5g*1.16)+ s4)] </t>
  </si>
  <si>
    <t>C5a</t>
  </si>
  <si>
    <t xml:space="preserve">Funded EMIS Support [greater of (b/5000) and 1] </t>
  </si>
  <si>
    <t>C6</t>
  </si>
  <si>
    <t xml:space="preserve">District Leadership Support Cost [C6b*((s5i*1.16)+ s4)] </t>
  </si>
  <si>
    <t>C6a</t>
  </si>
  <si>
    <t xml:space="preserve">Leadership Support [(C3a+1)/3] </t>
  </si>
  <si>
    <t>C6b</t>
  </si>
  <si>
    <t>Funded Leadership Support [greater of C6a and 1]</t>
  </si>
  <si>
    <t>C7</t>
  </si>
  <si>
    <t>Information Technology Center Support Cost [s6f *b]</t>
  </si>
  <si>
    <t xml:space="preserve">Building Leadership and Operations Base Cost [D1+D2+D3] </t>
  </si>
  <si>
    <t>D1</t>
  </si>
  <si>
    <t xml:space="preserve">Building Leadership Cost  [(((C1–s4)*(s5c /s5a))+s4)*D1a] </t>
  </si>
  <si>
    <t>D1a</t>
  </si>
  <si>
    <t xml:space="preserve">Funded Building Leaders [b/450] </t>
  </si>
  <si>
    <t>D2</t>
  </si>
  <si>
    <t>Building Leadership Support Cost [D2c]</t>
  </si>
  <si>
    <t>D2a</t>
  </si>
  <si>
    <t xml:space="preserve">Building Leadership Support and Student Ratio [b/400] </t>
  </si>
  <si>
    <t>D2b</t>
  </si>
  <si>
    <t>Funded Building Leadership Support [lesser of (a*3) and D2a]</t>
  </si>
  <si>
    <t>D2c</t>
  </si>
  <si>
    <t xml:space="preserve">[If D2a&lt;a then (a*(( s5j *1.16)+ s4)] </t>
  </si>
  <si>
    <t xml:space="preserve">[If D2a&gt;=a then (D2b*((s5j*1.16)+s4)] </t>
  </si>
  <si>
    <t>D3</t>
  </si>
  <si>
    <t>Building Operation Cost [b*(s6g – s6c)]</t>
  </si>
  <si>
    <t>Aggregate Base Cost [A+B+C+D]</t>
  </si>
  <si>
    <t>RPTING_LEA_IRN</t>
  </si>
  <si>
    <t>a_ENRL_ADM</t>
  </si>
  <si>
    <t>b_SPECED_FTE</t>
  </si>
  <si>
    <t>b1_CAT_1</t>
  </si>
  <si>
    <t>b2_CAT_2</t>
  </si>
  <si>
    <t>b3_CAT_3</t>
  </si>
  <si>
    <t>b4_CAT_4</t>
  </si>
  <si>
    <t>b5_CAT_5</t>
  </si>
  <si>
    <t>b6_CAT_6</t>
  </si>
  <si>
    <t>c1_EconDisadv_FTE</t>
  </si>
  <si>
    <t>d_EL_FTE</t>
  </si>
  <si>
    <t>d1_CAT_1</t>
  </si>
  <si>
    <t>d2_CAT_2</t>
  </si>
  <si>
    <t>d3_CAT_3</t>
  </si>
  <si>
    <t>e_CTE_FTE</t>
  </si>
  <si>
    <t>e1_CAT_1</t>
  </si>
  <si>
    <t>e2_CAT_2</t>
  </si>
  <si>
    <t>e3_CAT_3</t>
  </si>
  <si>
    <t>e4_CAT_4</t>
  </si>
  <si>
    <t>e5_CAT_5</t>
  </si>
  <si>
    <t>daria.shams:jvs_valuation.xlsx</t>
  </si>
  <si>
    <t>RES. &amp;</t>
  </si>
  <si>
    <t>ALL NON RES.</t>
  </si>
  <si>
    <t>PUBLIC</t>
  </si>
  <si>
    <t>AGRICULTURAL</t>
  </si>
  <si>
    <t>NON AGR.</t>
  </si>
  <si>
    <t>UTILITY</t>
  </si>
  <si>
    <t>TOTAL</t>
  </si>
  <si>
    <t>REAL VALUES</t>
  </si>
  <si>
    <t>TANGIBLE</t>
  </si>
  <si>
    <t>ASSESSED</t>
  </si>
  <si>
    <t>IRN</t>
  </si>
  <si>
    <t>JVS NAME</t>
  </si>
  <si>
    <t>VALUE FY22</t>
  </si>
  <si>
    <t>Apollo JVSD</t>
  </si>
  <si>
    <t>Southern Hills JVSD</t>
  </si>
  <si>
    <t>Ashtabula County JVSD</t>
  </si>
  <si>
    <t>Belmont-Harrison Vocational JV</t>
  </si>
  <si>
    <t>Butler Technology and Career D</t>
  </si>
  <si>
    <t>Columbiana County JVSD</t>
  </si>
  <si>
    <t>Cuyahoga Valley JVSD</t>
  </si>
  <si>
    <t>Polaris JVSD</t>
  </si>
  <si>
    <t>Four County JVSD</t>
  </si>
  <si>
    <t>Delaware County JVSD</t>
  </si>
  <si>
    <t>Eastland Fairfield Career/Tech</t>
  </si>
  <si>
    <t>EHOVE JVSD</t>
  </si>
  <si>
    <t>Greene County JVSD</t>
  </si>
  <si>
    <t>Great Oaks JVSD</t>
  </si>
  <si>
    <t>Jefferson County JVSD</t>
  </si>
  <si>
    <t>Auburn JVSD</t>
  </si>
  <si>
    <t>Lawrence County JVSD</t>
  </si>
  <si>
    <t>Licking County JVSD</t>
  </si>
  <si>
    <t>Lorain County JVSD</t>
  </si>
  <si>
    <t>Mahoning County JVSD</t>
  </si>
  <si>
    <t>Miami Valley Career Technical</t>
  </si>
  <si>
    <t>Mid-East Ohio JVSD</t>
  </si>
  <si>
    <t>Ohio Hi-Point JVSD</t>
  </si>
  <si>
    <t>Penta County JVSD</t>
  </si>
  <si>
    <t>Pike County Area JVSD</t>
  </si>
  <si>
    <t>Maplewood Career Center</t>
  </si>
  <si>
    <t>Pioneer JVSD</t>
  </si>
  <si>
    <t>Vanguard-Sentinel JVSD</t>
  </si>
  <si>
    <t>Warren County JVSD</t>
  </si>
  <si>
    <t>Scioto County JVSD</t>
  </si>
  <si>
    <t>Springfield-Clark County JVSD</t>
  </si>
  <si>
    <t>Tri County JVSD</t>
  </si>
  <si>
    <t>Trumbull County JVSD</t>
  </si>
  <si>
    <t>Buckeye JVSD</t>
  </si>
  <si>
    <t>Vantage JVSD</t>
  </si>
  <si>
    <t>Washington County JVSD</t>
  </si>
  <si>
    <t>Stark County Area JVSD</t>
  </si>
  <si>
    <t>Ashland County-West Holmes JVS</t>
  </si>
  <si>
    <t>Gallia-Jackson-Vinton JVSD</t>
  </si>
  <si>
    <t>Medina County JVSD</t>
  </si>
  <si>
    <t>Upper Valley JVSD</t>
  </si>
  <si>
    <t>U S Grant JVSD</t>
  </si>
  <si>
    <t>Portage Lakes JVSD</t>
  </si>
  <si>
    <t>Central Ohio JVSD</t>
  </si>
  <si>
    <t>Coshocton County JVSD</t>
  </si>
  <si>
    <t>Tri-Rivers JVSD</t>
  </si>
  <si>
    <t>Total Assessed Valuation TY20</t>
  </si>
  <si>
    <t>Total Assessed Valuation TY18</t>
  </si>
  <si>
    <t>fy</t>
  </si>
  <si>
    <t>rpting_lea_irn</t>
  </si>
  <si>
    <t>total_adjstd_fte</t>
  </si>
  <si>
    <t>econ_disadv_fte</t>
  </si>
  <si>
    <t>el_cat_1_fte</t>
  </si>
  <si>
    <t>el_cat_2_fte</t>
  </si>
  <si>
    <t>el_cat_3_fte</t>
  </si>
  <si>
    <t>speced_cat_1_fte</t>
  </si>
  <si>
    <t>speced_cat_2_fte</t>
  </si>
  <si>
    <t>speced_cat_3_fte</t>
  </si>
  <si>
    <t>speced_cat_4_fte</t>
  </si>
  <si>
    <t>speced_cat_5_fte</t>
  </si>
  <si>
    <t>speced_cat_6_fte</t>
  </si>
  <si>
    <t>cte_fund_cat_1_fte</t>
  </si>
  <si>
    <t>cte_fund_cat_2_fte</t>
  </si>
  <si>
    <t>cte_fund_cat_3_fte</t>
  </si>
  <si>
    <t>cte_fund_cat_4_fte</t>
  </si>
  <si>
    <t>cte_fund_cat_5_fte</t>
  </si>
  <si>
    <t>Sum of total_adjstd_fte</t>
  </si>
  <si>
    <t>Sum of econ_disadv_fte</t>
  </si>
  <si>
    <t>Sum of el_cat_1_fte</t>
  </si>
  <si>
    <t>Sum of el_cat_2_fte</t>
  </si>
  <si>
    <t>Sum of el_cat_3_fte</t>
  </si>
  <si>
    <t>Sum of speced_cat_1_fte</t>
  </si>
  <si>
    <t>Sum of speced_cat_2_fte</t>
  </si>
  <si>
    <t>Sum of speced_cat_3_fte</t>
  </si>
  <si>
    <t>Sum of speced_cat_4_fte</t>
  </si>
  <si>
    <t>Sum of speced_cat_5_fte</t>
  </si>
  <si>
    <t>Sum of speced_cat_6_fte</t>
  </si>
  <si>
    <t>Sum of cte_fund_cat_1_fte</t>
  </si>
  <si>
    <t>Sum of cte_fund_cat_2_fte</t>
  </si>
  <si>
    <t>Sum of cte_fund_cat_3_fte</t>
  </si>
  <si>
    <t>Sum of cte_fund_cat_4_fte</t>
  </si>
  <si>
    <t>Sum of cte_fund_cat_5_fte</t>
  </si>
  <si>
    <t xml:space="preserve"> total_adjstd_fte</t>
  </si>
  <si>
    <t xml:space="preserve"> el_cat_1_fte</t>
  </si>
  <si>
    <t xml:space="preserve"> el_cat_2_fte</t>
  </si>
  <si>
    <t xml:space="preserve"> speced_cat_3_fte</t>
  </si>
  <si>
    <t xml:space="preserve"> cte_fund_cat_3_fte</t>
  </si>
  <si>
    <t xml:space="preserve"> cte_fund_cat_4_fte</t>
  </si>
  <si>
    <t>fy19_cte</t>
  </si>
  <si>
    <t>fy19 grade 6_8_fte_not in_cte</t>
  </si>
  <si>
    <t>fy19 grade 9_12_fte_not in_cte</t>
  </si>
  <si>
    <t>fy19 grade 9_12_fte</t>
  </si>
  <si>
    <t>fy20_cte</t>
  </si>
  <si>
    <t>fy20 grade 6_8_fte_not in_cte</t>
  </si>
  <si>
    <t>fy20 grade 9_12_fte_not in_cte</t>
  </si>
  <si>
    <t>fy20 grade 9_12_fte</t>
  </si>
  <si>
    <t>fy21_cte</t>
  </si>
  <si>
    <t>fy21 grade 6_8_fte_not in_cte</t>
  </si>
  <si>
    <t>fy21 grade 9_12_fte_not in_cte</t>
  </si>
  <si>
    <t>fy21 grade 9_12_fte</t>
  </si>
  <si>
    <t>Enrolled ADM FY19</t>
  </si>
  <si>
    <t>Enrolled ADM FY20</t>
  </si>
  <si>
    <t>Enrolled ADM FY21</t>
  </si>
  <si>
    <t xml:space="preserve">3-Year Average Enrolled ADM
</t>
  </si>
  <si>
    <t>Enrolledment Base</t>
  </si>
  <si>
    <t>Base Cost enrolled ADM</t>
  </si>
  <si>
    <t xml:space="preserve">3-Year Average Enrolled CTE ADM
</t>
  </si>
  <si>
    <t>Base Cost enrolled CTE ADM</t>
  </si>
  <si>
    <t>3-yrs  avg 6_8_fte_not in_cte</t>
  </si>
  <si>
    <t>Base Cost ADM 6-8 not in CTE</t>
  </si>
  <si>
    <t>3-yrs  avg 9_12_fte_not in_cte</t>
  </si>
  <si>
    <t>Base Cost ADM 9-12 not in CTE</t>
  </si>
  <si>
    <t>3-yrs  avg 9_12_fte</t>
  </si>
  <si>
    <t xml:space="preserve">Base Cost ADM 9-12 </t>
  </si>
  <si>
    <t>JVS County</t>
  </si>
  <si>
    <t>JVS District Name</t>
  </si>
  <si>
    <t>Special Education (Equal to FY19 Amount)</t>
  </si>
  <si>
    <t>DPIA (Equal to FY19 Amount)</t>
  </si>
  <si>
    <t>English Learners (Equal to FY19 Amount)</t>
  </si>
  <si>
    <t>Career Technical Education (Equal to FY19 Amount + FY20 CTE Open Enrollment Funding)</t>
  </si>
  <si>
    <t>APOLLO</t>
  </si>
  <si>
    <t>SOUTHERN HILLS</t>
  </si>
  <si>
    <t>A-TECH</t>
  </si>
  <si>
    <t>BELMONT-HARRISON</t>
  </si>
  <si>
    <t>BUTLER TECH</t>
  </si>
  <si>
    <t>COLUMBIANA COUNTY</t>
  </si>
  <si>
    <t>CUYAHOGA VALLEY</t>
  </si>
  <si>
    <t>POLARIS</t>
  </si>
  <si>
    <t>FOUR COUNTY</t>
  </si>
  <si>
    <t>DELAWARE AREA CAREER CENTER</t>
  </si>
  <si>
    <t>EASTLAND-FAIRFIELD CAREER/TECH</t>
  </si>
  <si>
    <t>EHOVE</t>
  </si>
  <si>
    <t>GREENE COUNTY CAREER CENTER</t>
  </si>
  <si>
    <t>GREAT OAKS CAREER CAMPUSES</t>
  </si>
  <si>
    <t>JEFFERSON COUNTY</t>
  </si>
  <si>
    <t>KNOX COUNTY</t>
  </si>
  <si>
    <t>AUBURN</t>
  </si>
  <si>
    <t>LAWRENCE COUNTY</t>
  </si>
  <si>
    <t>C-TEC</t>
  </si>
  <si>
    <t>LORAIN COUNTY JVS</t>
  </si>
  <si>
    <t>MAHONING CO CAREER &amp; TECH CTR</t>
  </si>
  <si>
    <t>MIAMI VALLEY CAREER TECH</t>
  </si>
  <si>
    <t>MID-EAST CAREER &amp; TECH CENTERS</t>
  </si>
  <si>
    <t>OHIO HI-POINT</t>
  </si>
  <si>
    <t>PENTA</t>
  </si>
  <si>
    <t>PIKE COUNTY AREA</t>
  </si>
  <si>
    <t>MAPLEWOOD CAREER CENTER</t>
  </si>
  <si>
    <t>PIONEER CAREER &amp; TECHNOLOGY</t>
  </si>
  <si>
    <t>PICKAWAY-ROSS JVSD</t>
  </si>
  <si>
    <t>VANGUARD-SENTINEL</t>
  </si>
  <si>
    <t>WARREN COUNTY</t>
  </si>
  <si>
    <t>SCIOTO COUNTY CTC</t>
  </si>
  <si>
    <t>SPRINGFIELD-CLARK COUNTY</t>
  </si>
  <si>
    <t>TRI-COUNTY CAREER CENTER</t>
  </si>
  <si>
    <t>TRUMBULL CAREER &amp; TECH CTR</t>
  </si>
  <si>
    <t>BUCKEYE</t>
  </si>
  <si>
    <t>VANTAGE</t>
  </si>
  <si>
    <t>WASHINGTON CTY CAREER CENTER</t>
  </si>
  <si>
    <t>WAYNE COUNTY JVSD</t>
  </si>
  <si>
    <t>STARK COUNTY AREA</t>
  </si>
  <si>
    <t>ASHLAND COUNTY-WEST HOLMES</t>
  </si>
  <si>
    <t>GALLIA-JACKSON-VINTON</t>
  </si>
  <si>
    <t>MEDINA COUNTY JVSD</t>
  </si>
  <si>
    <t>UPPER VALLEY CAREER CENTER</t>
  </si>
  <si>
    <t>U S GRANT</t>
  </si>
  <si>
    <t>PORTAGE LAKES</t>
  </si>
  <si>
    <t>TOLLES</t>
  </si>
  <si>
    <t>COSHOCTON COUNTY</t>
  </si>
  <si>
    <t>TRI-RIVERS</t>
  </si>
  <si>
    <t>FundIRN</t>
  </si>
  <si>
    <t>OrgName</t>
  </si>
  <si>
    <t>CountyName</t>
  </si>
  <si>
    <t>TotalFTETransferFunding</t>
  </si>
  <si>
    <t>TotalCatastrophicCostWithholdTransferFunding</t>
  </si>
  <si>
    <t>TotalOtherAdjustmentsFunding</t>
  </si>
  <si>
    <t>StateAvgBaseCostPerPupilTRAD</t>
  </si>
  <si>
    <t>StateAvgBaseCostPerPupilJVSD</t>
  </si>
  <si>
    <t>Washington County Career Center District</t>
  </si>
  <si>
    <t>Ashland County-West Holmes Joint Vocational School</t>
  </si>
  <si>
    <t>FY24</t>
  </si>
  <si>
    <t>Total Assessed Valuation TY22</t>
  </si>
  <si>
    <t>TY23 (projected), 22, 21</t>
  </si>
  <si>
    <t>Minimum State Share percentage</t>
  </si>
  <si>
    <t>Funding Base (F2-F3)</t>
  </si>
  <si>
    <t>FY21 Funding Base (H1)</t>
  </si>
  <si>
    <t>Ad. Base Cost</t>
  </si>
  <si>
    <t>Bd. Special Education</t>
  </si>
  <si>
    <t xml:space="preserve">Cd. (DPIA) </t>
  </si>
  <si>
    <t>Dd. English Learners</t>
  </si>
  <si>
    <t>Ed. CTE</t>
  </si>
  <si>
    <t>050765</t>
  </si>
  <si>
    <t>3-year Average Property Valuation [(TY23+TY22+TY21)/3]</t>
  </si>
  <si>
    <t>TY23 Property Valuation</t>
  </si>
  <si>
    <t>Core Foundation Funding [F2+(((F1-C)-F4)*66.67%)+((C-F3)*66.67%)]</t>
  </si>
  <si>
    <t>To change -Go to</t>
  </si>
  <si>
    <t>Edit Column</t>
  </si>
  <si>
    <t>Review the below directions and explanations for variables used in the simulation. Actual aid will be calculated based on actual data and is subject to change. Changes between this simulation and actual aid may be significant, especially for individual school districts.</t>
  </si>
  <si>
    <t>Directions</t>
  </si>
  <si>
    <t>Download and save the excel file on desktop or other drive on your computer (recommended). You may also use the worksheet online, but you would not be able to save changes. You may want to print these directions.</t>
  </si>
  <si>
    <r>
      <t>To view the simulation for your district, go to the second tab (</t>
    </r>
    <r>
      <rPr>
        <b/>
        <i/>
        <sz val="11"/>
        <rFont val="Calibri"/>
        <family val="2"/>
        <scheme val="minor"/>
      </rPr>
      <t>Detailed SFPR</t>
    </r>
    <r>
      <rPr>
        <sz val="11"/>
        <rFont val="Calibri"/>
        <family val="2"/>
        <scheme val="minor"/>
      </rPr>
      <t xml:space="preserve">) and enter your district's IRN in the </t>
    </r>
    <r>
      <rPr>
        <b/>
        <sz val="11"/>
        <rFont val="Calibri"/>
        <family val="2"/>
        <scheme val="minor"/>
      </rPr>
      <t>IRN</t>
    </r>
    <r>
      <rPr>
        <sz val="11"/>
        <rFont val="Calibri"/>
        <family val="2"/>
        <scheme val="minor"/>
      </rPr>
      <t xml:space="preserve"> field (cell C7). Then the simulation for your district will populate the Detailed SFPR. </t>
    </r>
  </si>
  <si>
    <r>
      <rPr>
        <b/>
        <i/>
        <sz val="11"/>
        <rFont val="Calibri"/>
        <family val="2"/>
        <scheme val="minor"/>
      </rPr>
      <t>Summary SFPR</t>
    </r>
    <r>
      <rPr>
        <sz val="11"/>
        <rFont val="Calibri"/>
        <family val="2"/>
        <scheme val="minor"/>
      </rPr>
      <t xml:space="preserve"> tab displays the Summary SFPR and it is not editable. </t>
    </r>
  </si>
  <si>
    <r>
      <t xml:space="preserve">Column M of the </t>
    </r>
    <r>
      <rPr>
        <b/>
        <i/>
        <sz val="11"/>
        <rFont val="Calibri"/>
        <family val="2"/>
        <scheme val="minor"/>
      </rPr>
      <t>Detailed and Summary SFPR</t>
    </r>
    <r>
      <rPr>
        <sz val="11"/>
        <rFont val="Calibri"/>
        <family val="2"/>
        <scheme val="minor"/>
      </rPr>
      <t xml:space="preserve"> tabs indicate the tabs to go to change the data. Column N points to the columns where to change the data.</t>
    </r>
  </si>
  <si>
    <t xml:space="preserve">The cells may be edited by simply entering a new number (e.g. "40.12" instead of "30.12"). However, it is recommended that you edit by changing "30.12" to "=30.12+10"  or "=30.12 - 10" to not lose the original figure. </t>
  </si>
  <si>
    <t>If you override any values in the editable fields and then save the file, there is no mechanism to restore those values back in that file. You will have to download a new version and start from the beginning.</t>
  </si>
  <si>
    <t>If you do another simulation later in the year, check back on ODEW website for an updated version of the spreadsheet with revised data.</t>
  </si>
  <si>
    <t>Direct all questions to:</t>
  </si>
  <si>
    <t>Prabir Sarkar at (614) 728 7849 or Prabir.Sarkar@education.ohio.gov</t>
  </si>
  <si>
    <t>James Comeaux at (614) 466 6253 or James.Comeaux@education.ohio.gov  or</t>
  </si>
  <si>
    <t>Elena Sanders at (614) 752 1561 or Elena.Sanders@education.ohio.gov</t>
  </si>
  <si>
    <t>Data from</t>
  </si>
  <si>
    <t>Base Cost Enrolled ADM (b)</t>
  </si>
  <si>
    <t>General phase-in %</t>
  </si>
  <si>
    <t>Minimum State Share Percentage</t>
  </si>
  <si>
    <t xml:space="preserve">TY23 (TY23 TAX projection for real property valuation as of January 2024 + 2022 PUPP valuation), TY22, TY21 </t>
  </si>
  <si>
    <t>JVS Name</t>
  </si>
  <si>
    <t>TY23 Projected Assessed Valuation</t>
  </si>
  <si>
    <t>Joint Vocational School District Names</t>
  </si>
  <si>
    <t>ADM Data</t>
  </si>
  <si>
    <t>O</t>
  </si>
  <si>
    <t>P</t>
  </si>
  <si>
    <t>Q</t>
  </si>
  <si>
    <t>R</t>
  </si>
  <si>
    <t>S</t>
  </si>
  <si>
    <t>Valuations</t>
  </si>
  <si>
    <t>The section below outlines the datasets used in generating the FY25 State Foundation Formula.</t>
  </si>
  <si>
    <r>
      <rPr>
        <b/>
        <sz val="11"/>
        <rFont val="Calibri"/>
        <family val="2"/>
        <scheme val="minor"/>
      </rPr>
      <t>Important</t>
    </r>
    <r>
      <rPr>
        <sz val="11"/>
        <rFont val="Calibri"/>
        <family val="2"/>
        <scheme val="minor"/>
      </rPr>
      <t>: Updating any of the ADM does NOT automatically update any of the totals or proportionately reduces or increases categorical data. You have to change each number separately and manually.</t>
    </r>
  </si>
  <si>
    <t xml:space="preserve">Note: Economically Disadvantaged Percentage are NOT recalculated  based on the data changes specific to your district. </t>
  </si>
  <si>
    <t>SWS Funding FY24 Jan</t>
  </si>
  <si>
    <t>$8,241.61 (FY24 February)</t>
  </si>
  <si>
    <t>FY24 January</t>
  </si>
  <si>
    <t>40.2663% (FY24 January)</t>
  </si>
  <si>
    <t>Greater of FY24 (January) or average of (FY24, 23, 22)</t>
  </si>
  <si>
    <t>FY24 (January)</t>
  </si>
  <si>
    <t>JVSD Statewide Economically Disadvantaged Percentage</t>
  </si>
  <si>
    <t>[a] Enrolled ADM</t>
  </si>
  <si>
    <t>[f] TY23 Projected Property Valuation</t>
  </si>
  <si>
    <t>TY22 Property Valuation</t>
  </si>
  <si>
    <t>TY21 Property Valuation</t>
  </si>
  <si>
    <t>Ohio Department of Education &amp; Workforce</t>
  </si>
  <si>
    <t>Simulation Calculator for FY2025</t>
  </si>
  <si>
    <t>District:</t>
  </si>
  <si>
    <t>[c = (b-a) * %] Phase-in Funding</t>
  </si>
  <si>
    <r>
      <t>The file has several tabs (</t>
    </r>
    <r>
      <rPr>
        <b/>
        <i/>
        <sz val="11"/>
        <rFont val="Calibri"/>
        <family val="2"/>
        <scheme val="minor"/>
      </rPr>
      <t>Directions, Detailed SFPR , Summary SFPR, ADM Data, Valuation</t>
    </r>
    <r>
      <rPr>
        <sz val="11"/>
        <rFont val="Calibri"/>
        <family val="2"/>
        <scheme val="minor"/>
      </rPr>
      <t>).  Any cells highlighted in light blue can be changed. All others are locked and should not be changed.</t>
    </r>
  </si>
  <si>
    <r>
      <t xml:space="preserve">To change the simulation change the data by manipulating  numbers in  </t>
    </r>
    <r>
      <rPr>
        <b/>
        <i/>
        <sz val="11"/>
        <rFont val="Calibri"/>
        <family val="2"/>
        <scheme val="minor"/>
      </rPr>
      <t xml:space="preserve">ADM Data, Valuation </t>
    </r>
    <r>
      <rPr>
        <sz val="11"/>
        <rFont val="Calibri"/>
        <family val="2"/>
        <scheme val="minor"/>
      </rPr>
      <t>tabs.  You will need to find your district in the tab by either scrolling to it, filtering or searching by district name or IRN in each tab. You may want to highlight the row with your district data.</t>
    </r>
  </si>
  <si>
    <t xml:space="preserve"> District </t>
  </si>
  <si>
    <t xml:space="preserve">County </t>
  </si>
  <si>
    <t>District IRN</t>
  </si>
  <si>
    <t xml:space="preserve"> District</t>
  </si>
  <si>
    <t>County</t>
  </si>
  <si>
    <t>[b1] Sped Ed Cat 1 ADM</t>
  </si>
  <si>
    <t>[b2]  Sped Ed Cat2 ADM</t>
  </si>
  <si>
    <t>[b3] Sped Ed Cat 3 ADM</t>
  </si>
  <si>
    <t>[b4] Sped Ed Cat4 ADM</t>
  </si>
  <si>
    <t>[b5] Sped Ed Cat 5 ADM</t>
  </si>
  <si>
    <t>[b6] Sped Ed Cat 6 ADM</t>
  </si>
  <si>
    <t>[c1] Econ Dis ADM</t>
  </si>
  <si>
    <t>[d1] English learner Cat1 ADM</t>
  </si>
  <si>
    <t xml:space="preserve">[e1] CTE cat1 FTE </t>
  </si>
  <si>
    <t>[d2] English learner Cat2 ADM</t>
  </si>
  <si>
    <t>[d3] English learner Cat3 ADM</t>
  </si>
  <si>
    <t xml:space="preserve">[e2] CTE cat1 FTE </t>
  </si>
  <si>
    <t xml:space="preserve">[e3] CTE cat1 FTE </t>
  </si>
  <si>
    <t xml:space="preserve">[e4] CTE cat1 FTE </t>
  </si>
  <si>
    <t xml:space="preserve">[e5] CTE cat1 FTE </t>
  </si>
  <si>
    <t>66.67% phase-in percent is applied to lines A, B, C, D, E.</t>
  </si>
  <si>
    <t>b . Base Cost Enrolled ADM</t>
  </si>
  <si>
    <t>b5. Base Cost Enrolled ADM Grades 6-8 No CTE</t>
  </si>
  <si>
    <t>b6. Base Cost Enrolled ADM Grades 9-12 Not in CTE</t>
  </si>
  <si>
    <t xml:space="preserve">b7. Base Cost Enrolled ADM Grades 9-12 </t>
  </si>
  <si>
    <t>b. Base Cost Enrolled ADM</t>
  </si>
  <si>
    <t>b4. Base Cost enrolled in CTE ADM</t>
  </si>
  <si>
    <t>Aggregate Base Cost</t>
  </si>
  <si>
    <t xml:space="preserve">Detailed School Finance Payment Report (SFPR) </t>
  </si>
  <si>
    <t>Summary School Finance Payment Report (SFPR)</t>
  </si>
  <si>
    <t xml:space="preserve">District’s State Share of the Base Cost [greater of (A1-A2) and (A1*0.10)] </t>
  </si>
  <si>
    <t>State Share Percentage [greater of (A/A1) and 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</si>
</sst>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000000"/>
    <numFmt numFmtId="166" formatCode="#,##0.000000"/>
    <numFmt numFmtId="167" formatCode="0.000000"/>
    <numFmt numFmtId="168" formatCode="0.000000000"/>
    <numFmt numFmtId="169" formatCode="0.000000000%"/>
    <numFmt numFmtId="170" formatCode="0.0000000000"/>
    <numFmt numFmtId="171" formatCode="0.0000"/>
    <numFmt numFmtId="172" formatCode="&quot;$&quot;#,##0"/>
    <numFmt numFmtId="173" formatCode="0.00000000"/>
    <numFmt numFmtId="174" formatCode="00000"/>
    <numFmt numFmtId="175" formatCode="0.0000000%"/>
    <numFmt numFmtId="176" formatCode="#,##0.0000000000"/>
    <numFmt numFmtId="177" formatCode="0.000000%"/>
    <numFmt numFmtId="178" formatCode="0.00000000%"/>
    <numFmt numFmtId="179" formatCode="000000"/>
    <numFmt numFmtId="180" formatCode="0.00000"/>
    <numFmt numFmtId="181" formatCode="0.0000%"/>
  </numFmts>
  <fonts count="5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color theme="1"/>
      <name val="Calibri"/>
      <family val="2"/>
    </font>
    <font>
      <sz val="10"/>
      <name val="Calibri"/>
      <family val="2"/>
    </font>
    <font>
      <sz val="10"/>
      <name val="Arial"/>
      <family val="2"/>
    </font>
    <font>
      <sz val="12"/>
      <name val="Calibri"/>
      <family val="2"/>
    </font>
    <font>
      <sz val="11"/>
      <name val="Calibri"/>
      <family val="2"/>
    </font>
    <font>
      <b/>
      <sz val="11"/>
      <name val="Calibri"/>
      <family val="2"/>
    </font>
    <font>
      <sz val="10.5"/>
      <name val="Calibri"/>
      <family val="2"/>
    </font>
    <font>
      <b/>
      <sz val="10.5"/>
      <name val="Calibri"/>
      <family val="2"/>
      <scheme val="minor"/>
    </font>
    <font>
      <sz val="10.5"/>
      <name val="Courier New"/>
      <family val="3"/>
    </font>
    <font>
      <sz val="10.5"/>
      <name val="Calibri"/>
      <family val="2"/>
      <scheme val="minor"/>
    </font>
    <font>
      <sz val="11"/>
      <name val="Calibri"/>
      <family val="2"/>
      <scheme val="minor"/>
    </font>
    <font>
      <sz val="11"/>
      <name val="Times New Roman"/>
      <family val="1"/>
    </font>
    <font>
      <b/>
      <sz val="10.5"/>
      <name val="Calibri"/>
      <family val="2"/>
    </font>
    <font>
      <sz val="11"/>
      <color rgb="FF000000"/>
      <name val="Calibri"/>
      <family val="2"/>
      <scheme val="minor"/>
    </font>
    <font>
      <sz val="9"/>
      <color theme="1"/>
      <name val="Calibri"/>
      <family val="2"/>
      <scheme val="minor"/>
    </font>
    <font>
      <sz val="11"/>
      <color rgb="FF000000"/>
      <name val="Calibri"/>
      <family val="2"/>
    </font>
    <font>
      <b/>
      <sz val="11"/>
      <color rgb="FF000000"/>
      <name val="Calibri"/>
      <family val="2"/>
    </font>
    <font>
      <b/>
      <sz val="18"/>
      <color theme="0"/>
      <name val="Calibri"/>
      <family val="2"/>
      <scheme val="minor"/>
    </font>
    <font>
      <b/>
      <sz val="16"/>
      <color theme="0"/>
      <name val="Calibri"/>
      <family val="2"/>
      <scheme val="minor"/>
    </font>
    <font>
      <sz val="16"/>
      <color theme="0"/>
      <name val="Calibri"/>
      <family val="2"/>
      <scheme val="minor"/>
    </font>
    <font>
      <b/>
      <sz val="11"/>
      <name val="Calibri"/>
      <family val="2"/>
      <scheme val="minor"/>
    </font>
    <font>
      <b/>
      <i/>
      <sz val="11"/>
      <name val="Calibri"/>
      <family val="2"/>
      <scheme val="minor"/>
    </font>
    <font>
      <sz val="11"/>
      <color rgb="FF000000"/>
      <name val="Calibri"/>
      <family val="2"/>
    </font>
    <font>
      <sz val="10"/>
      <name val="Calibri"/>
      <family val="2"/>
      <scheme val="minor"/>
    </font>
    <font>
      <b/>
      <sz val="18"/>
      <color theme="0" tint="-4.9989318521683403E-2"/>
      <name val="Calibri"/>
      <family val="2"/>
      <scheme val="minor"/>
    </font>
    <font>
      <b/>
      <i/>
      <sz val="11"/>
      <color theme="0"/>
      <name val="Calibri"/>
      <family val="2"/>
      <scheme val="minor"/>
    </font>
    <font>
      <b/>
      <sz val="11"/>
      <color theme="0"/>
      <name val="Calibri"/>
      <family val="2"/>
    </font>
    <font>
      <sz val="11"/>
      <color theme="0"/>
      <name val="Calibri"/>
      <family val="2"/>
    </font>
    <font>
      <sz val="10.5"/>
      <color theme="0"/>
      <name val="Calibri"/>
      <family val="2"/>
      <scheme val="minor"/>
    </font>
    <font>
      <b/>
      <sz val="11"/>
      <color theme="0" tint="-4.9989318521683403E-2"/>
      <name val="Calibri"/>
      <family val="2"/>
      <scheme val="minor"/>
    </font>
    <font>
      <b/>
      <i/>
      <sz val="11"/>
      <color theme="1"/>
      <name val="Calibri"/>
      <family val="2"/>
      <scheme val="minor"/>
    </font>
    <font>
      <b/>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bgColor indexed="64"/>
      </patternFill>
    </fill>
    <fill>
      <patternFill patternType="solid">
        <fgColor rgb="FF00B0F0"/>
        <bgColor indexed="64"/>
      </patternFill>
    </fill>
    <fill>
      <patternFill patternType="solid">
        <fgColor rgb="FFD9D9D9"/>
      </patternFill>
    </fill>
    <fill>
      <patternFill patternType="solid">
        <fgColor rgb="FF00206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 fillId="0" borderId="0"/>
    <xf numFmtId="0" fontId="21" fillId="0" borderId="0"/>
    <xf numFmtId="0" fontId="21" fillId="0" borderId="0"/>
    <xf numFmtId="9" fontId="19" fillId="0" borderId="0" applyFont="0" applyFill="0" applyBorder="0" applyAlignment="0" applyProtection="0"/>
    <xf numFmtId="43" fontId="19" fillId="0" borderId="0" applyFont="0" applyFill="0" applyBorder="0" applyAlignment="0" applyProtection="0"/>
    <xf numFmtId="0" fontId="34" fillId="0" borderId="0"/>
    <xf numFmtId="44" fontId="1" fillId="0" borderId="0" applyFont="0" applyFill="0" applyBorder="0" applyAlignment="0" applyProtection="0"/>
    <xf numFmtId="0" fontId="21" fillId="0" borderId="0"/>
    <xf numFmtId="0" fontId="1" fillId="0" borderId="0"/>
    <xf numFmtId="0" fontId="19" fillId="0" borderId="0"/>
    <xf numFmtId="0" fontId="41" fillId="0" borderId="0"/>
    <xf numFmtId="0" fontId="34" fillId="0" borderId="0"/>
  </cellStyleXfs>
  <cellXfs count="352">
    <xf numFmtId="0" fontId="0" fillId="0" borderId="0" xfId="0"/>
    <xf numFmtId="4" fontId="0" fillId="0" borderId="0" xfId="0" applyNumberFormat="1"/>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33" borderId="0" xfId="0" applyFill="1" applyAlignment="1">
      <alignment horizontal="center" vertical="center" wrapText="1"/>
    </xf>
    <xf numFmtId="43" fontId="0" fillId="0" borderId="0" xfId="42" applyFont="1"/>
    <xf numFmtId="43" fontId="0" fillId="0" borderId="0" xfId="0" applyNumberFormat="1"/>
    <xf numFmtId="0" fontId="0" fillId="0" borderId="0" xfId="0" applyAlignment="1">
      <alignment wrapText="1"/>
    </xf>
    <xf numFmtId="164" fontId="0" fillId="0" borderId="0" xfId="0" applyNumberFormat="1"/>
    <xf numFmtId="164" fontId="0" fillId="33" borderId="0" xfId="0" applyNumberFormat="1" applyFill="1"/>
    <xf numFmtId="167" fontId="0" fillId="0" borderId="0" xfId="0" applyNumberFormat="1"/>
    <xf numFmtId="0" fontId="0" fillId="33" borderId="0" xfId="0" applyFill="1"/>
    <xf numFmtId="4" fontId="0" fillId="33" borderId="0" xfId="0" applyNumberFormat="1" applyFill="1"/>
    <xf numFmtId="0" fontId="16" fillId="0" borderId="0" xfId="0" applyFont="1" applyAlignment="1">
      <alignment horizontal="center" vertical="center" wrapText="1"/>
    </xf>
    <xf numFmtId="168" fontId="0" fillId="0" borderId="0" xfId="0" applyNumberFormat="1"/>
    <xf numFmtId="0" fontId="0" fillId="0" borderId="0" xfId="0" applyAlignment="1">
      <alignment horizontal="right"/>
    </xf>
    <xf numFmtId="2" fontId="0" fillId="0" borderId="0" xfId="0" applyNumberFormat="1"/>
    <xf numFmtId="0" fontId="0" fillId="0" borderId="0" xfId="0" applyAlignment="1">
      <alignment horizontal="left"/>
    </xf>
    <xf numFmtId="4" fontId="0" fillId="0" borderId="0" xfId="42" applyNumberFormat="1" applyFont="1"/>
    <xf numFmtId="169" fontId="0" fillId="0" borderId="0" xfId="0" applyNumberFormat="1"/>
    <xf numFmtId="170" fontId="0" fillId="0" borderId="0" xfId="0" applyNumberFormat="1"/>
    <xf numFmtId="171" fontId="0" fillId="0" borderId="0" xfId="0" applyNumberFormat="1"/>
    <xf numFmtId="172" fontId="0" fillId="0" borderId="0" xfId="0" applyNumberFormat="1"/>
    <xf numFmtId="173" fontId="0" fillId="0" borderId="0" xfId="0" applyNumberFormat="1"/>
    <xf numFmtId="10" fontId="0" fillId="0" borderId="0" xfId="0" applyNumberFormat="1"/>
    <xf numFmtId="10" fontId="0" fillId="0" borderId="0" xfId="43" applyNumberFormat="1" applyFont="1"/>
    <xf numFmtId="0" fontId="16" fillId="0" borderId="0" xfId="0" applyFont="1"/>
    <xf numFmtId="43" fontId="0" fillId="0" borderId="0" xfId="42" applyFont="1" applyFill="1"/>
    <xf numFmtId="0" fontId="16" fillId="0" borderId="0" xfId="0" applyFont="1" applyAlignment="1">
      <alignment horizontal="center" vertical="center"/>
    </xf>
    <xf numFmtId="43" fontId="16" fillId="0" borderId="0" xfId="42" applyFont="1" applyAlignment="1">
      <alignment horizontal="center" vertical="center" wrapText="1"/>
    </xf>
    <xf numFmtId="43" fontId="16" fillId="33" borderId="0" xfId="42" applyFont="1" applyFill="1" applyAlignment="1">
      <alignment horizontal="center" vertical="center" wrapText="1"/>
    </xf>
    <xf numFmtId="0" fontId="16" fillId="33" borderId="0" xfId="0" applyFont="1" applyFill="1" applyAlignment="1">
      <alignment horizontal="center" vertical="center" wrapText="1"/>
    </xf>
    <xf numFmtId="43" fontId="0" fillId="33" borderId="0" xfId="42" applyFont="1" applyFill="1"/>
    <xf numFmtId="43" fontId="0" fillId="33" borderId="0" xfId="0" applyNumberFormat="1" applyFill="1"/>
    <xf numFmtId="0" fontId="16" fillId="0" borderId="0" xfId="0" applyFont="1" applyAlignment="1">
      <alignment wrapText="1"/>
    </xf>
    <xf numFmtId="0" fontId="0" fillId="0" borderId="0" xfId="0" applyAlignment="1">
      <alignment horizontal="center"/>
    </xf>
    <xf numFmtId="1" fontId="0" fillId="0" borderId="0" xfId="0" applyNumberFormat="1"/>
    <xf numFmtId="1" fontId="0" fillId="0" borderId="0" xfId="0" applyNumberFormat="1" applyAlignment="1">
      <alignment horizontal="left"/>
    </xf>
    <xf numFmtId="0" fontId="0" fillId="34" borderId="0" xfId="0" applyFill="1" applyAlignment="1">
      <alignment horizontal="center" vertical="center" wrapText="1"/>
    </xf>
    <xf numFmtId="0" fontId="20" fillId="0" borderId="0" xfId="44" applyFont="1" applyProtection="1">
      <protection hidden="1"/>
    </xf>
    <xf numFmtId="0" fontId="22" fillId="0" borderId="0" xfId="44" applyFont="1" applyProtection="1">
      <protection hidden="1"/>
    </xf>
    <xf numFmtId="0" fontId="23" fillId="0" borderId="0" xfId="44" applyFont="1" applyProtection="1">
      <protection hidden="1"/>
    </xf>
    <xf numFmtId="4" fontId="23" fillId="0" borderId="0" xfId="44" applyNumberFormat="1" applyFont="1" applyProtection="1">
      <protection hidden="1"/>
    </xf>
    <xf numFmtId="0" fontId="24" fillId="0" borderId="0" xfId="44" applyFont="1" applyAlignment="1" applyProtection="1">
      <alignment horizontal="right"/>
      <protection hidden="1"/>
    </xf>
    <xf numFmtId="0" fontId="25" fillId="0" borderId="0" xfId="44" applyFont="1" applyProtection="1">
      <protection hidden="1"/>
    </xf>
    <xf numFmtId="4" fontId="25" fillId="0" borderId="0" xfId="44" applyNumberFormat="1" applyFont="1" applyAlignment="1" applyProtection="1">
      <alignment horizontal="right"/>
      <protection hidden="1"/>
    </xf>
    <xf numFmtId="4" fontId="25" fillId="0" borderId="0" xfId="44" applyNumberFormat="1" applyFont="1" applyProtection="1">
      <protection hidden="1"/>
    </xf>
    <xf numFmtId="43" fontId="25" fillId="0" borderId="0" xfId="48" applyFont="1" applyFill="1" applyProtection="1">
      <protection hidden="1"/>
    </xf>
    <xf numFmtId="43" fontId="25" fillId="0" borderId="0" xfId="44" applyNumberFormat="1" applyFont="1" applyProtection="1">
      <protection hidden="1"/>
    </xf>
    <xf numFmtId="164" fontId="28" fillId="0" borderId="0" xfId="44" applyNumberFormat="1" applyFont="1" applyAlignment="1" applyProtection="1">
      <alignment horizontal="right" vertical="center"/>
      <protection hidden="1"/>
    </xf>
    <xf numFmtId="4" fontId="19" fillId="0" borderId="0" xfId="44" applyNumberFormat="1" applyProtection="1">
      <protection hidden="1"/>
    </xf>
    <xf numFmtId="164" fontId="25" fillId="0" borderId="0" xfId="44" applyNumberFormat="1" applyFont="1" applyProtection="1">
      <protection hidden="1"/>
    </xf>
    <xf numFmtId="164" fontId="25" fillId="0" borderId="0" xfId="48" applyNumberFormat="1" applyFont="1" applyFill="1" applyAlignment="1" applyProtection="1">
      <protection hidden="1"/>
    </xf>
    <xf numFmtId="0" fontId="0" fillId="37" borderId="0" xfId="0" applyFill="1" applyAlignment="1">
      <alignment horizontal="center" vertical="center" wrapText="1"/>
    </xf>
    <xf numFmtId="172" fontId="16" fillId="0" borderId="0" xfId="0" applyNumberFormat="1" applyFont="1" applyAlignment="1">
      <alignment horizontal="center"/>
    </xf>
    <xf numFmtId="49" fontId="16" fillId="0" borderId="0" xfId="0" applyNumberFormat="1" applyFont="1"/>
    <xf numFmtId="8" fontId="23" fillId="0" borderId="0" xfId="44" applyNumberFormat="1" applyFont="1" applyProtection="1">
      <protection hidden="1"/>
    </xf>
    <xf numFmtId="179" fontId="23" fillId="35" borderId="0" xfId="44" applyNumberFormat="1" applyFont="1" applyFill="1" applyAlignment="1" applyProtection="1">
      <alignment horizontal="left"/>
      <protection locked="0"/>
    </xf>
    <xf numFmtId="164" fontId="25" fillId="0" borderId="0" xfId="47" applyNumberFormat="1" applyFont="1" applyFill="1" applyProtection="1">
      <protection hidden="1"/>
    </xf>
    <xf numFmtId="0" fontId="28" fillId="0" borderId="0" xfId="44" applyFont="1" applyAlignment="1" applyProtection="1">
      <alignment horizontal="left"/>
      <protection hidden="1"/>
    </xf>
    <xf numFmtId="0" fontId="28" fillId="0" borderId="0" xfId="44" applyFont="1" applyAlignment="1" applyProtection="1">
      <alignment horizontal="right"/>
      <protection hidden="1"/>
    </xf>
    <xf numFmtId="0" fontId="32" fillId="0" borderId="0" xfId="0" applyFont="1"/>
    <xf numFmtId="0" fontId="33" fillId="0" borderId="0" xfId="0" applyFont="1"/>
    <xf numFmtId="4" fontId="32" fillId="0" borderId="0" xfId="0" applyNumberFormat="1" applyFont="1"/>
    <xf numFmtId="164" fontId="32" fillId="0" borderId="0" xfId="0" applyNumberFormat="1" applyFont="1" applyAlignment="1">
      <alignment horizontal="right"/>
    </xf>
    <xf numFmtId="7" fontId="0" fillId="0" borderId="0" xfId="0" applyNumberFormat="1"/>
    <xf numFmtId="7" fontId="32" fillId="0" borderId="0" xfId="0" applyNumberFormat="1" applyFont="1" applyAlignment="1">
      <alignment horizontal="right"/>
    </xf>
    <xf numFmtId="8" fontId="0" fillId="0" borderId="0" xfId="0" applyNumberFormat="1"/>
    <xf numFmtId="8" fontId="32" fillId="0" borderId="0" xfId="0" applyNumberFormat="1" applyFont="1" applyAlignment="1">
      <alignment horizontal="right"/>
    </xf>
    <xf numFmtId="8" fontId="0" fillId="0" borderId="0" xfId="0" applyNumberFormat="1" applyAlignment="1">
      <alignment horizontal="right"/>
    </xf>
    <xf numFmtId="0" fontId="16" fillId="0" borderId="0" xfId="0" applyFont="1" applyAlignment="1">
      <alignment horizontal="center" wrapText="1"/>
    </xf>
    <xf numFmtId="0" fontId="16" fillId="0" borderId="0" xfId="0" applyFont="1" applyAlignment="1">
      <alignment vertical="center"/>
    </xf>
    <xf numFmtId="3" fontId="25" fillId="0" borderId="0" xfId="44" applyNumberFormat="1" applyFont="1" applyProtection="1">
      <protection hidden="1"/>
    </xf>
    <xf numFmtId="4" fontId="0" fillId="0" borderId="0" xfId="0" applyNumberFormat="1" applyAlignment="1">
      <alignment horizontal="right"/>
    </xf>
    <xf numFmtId="8" fontId="32" fillId="0" borderId="0" xfId="0" applyNumberFormat="1" applyFont="1"/>
    <xf numFmtId="0" fontId="35" fillId="38" borderId="10" xfId="49" applyFont="1" applyFill="1" applyBorder="1" applyAlignment="1">
      <alignment horizontal="center" vertical="center"/>
    </xf>
    <xf numFmtId="0" fontId="34" fillId="0" borderId="0" xfId="49"/>
    <xf numFmtId="0" fontId="16" fillId="33" borderId="0" xfId="0" applyFont="1" applyFill="1"/>
    <xf numFmtId="164" fontId="16" fillId="33" borderId="0" xfId="0" applyNumberFormat="1" applyFont="1" applyFill="1"/>
    <xf numFmtId="8" fontId="0" fillId="33" borderId="0" xfId="0" applyNumberFormat="1" applyFill="1"/>
    <xf numFmtId="0" fontId="36" fillId="39" borderId="0" xfId="0" applyFont="1" applyFill="1" applyAlignment="1">
      <alignment horizontal="center" vertical="center"/>
    </xf>
    <xf numFmtId="0" fontId="36" fillId="39" borderId="0" xfId="0" applyFont="1" applyFill="1" applyAlignment="1">
      <alignment horizontal="center" vertical="center" wrapText="1"/>
    </xf>
    <xf numFmtId="0" fontId="36" fillId="39" borderId="0" xfId="0" applyFont="1" applyFill="1" applyAlignment="1">
      <alignment horizontal="left" vertical="center"/>
    </xf>
    <xf numFmtId="0" fontId="23" fillId="0" borderId="0" xfId="0" applyFont="1" applyAlignment="1">
      <alignment horizontal="left" vertical="center" wrapText="1"/>
    </xf>
    <xf numFmtId="10" fontId="0" fillId="0" borderId="0" xfId="0" applyNumberFormat="1" applyAlignment="1">
      <alignment horizontal="left"/>
    </xf>
    <xf numFmtId="0" fontId="37" fillId="39" borderId="11" xfId="0" applyFont="1" applyFill="1" applyBorder="1" applyAlignment="1">
      <alignment horizontal="center" vertical="center"/>
    </xf>
    <xf numFmtId="0" fontId="37" fillId="39" borderId="12" xfId="0" applyFont="1" applyFill="1" applyBorder="1" applyAlignment="1">
      <alignment horizontal="center" vertical="center"/>
    </xf>
    <xf numFmtId="0" fontId="16" fillId="0" borderId="14" xfId="0" applyFont="1" applyBorder="1"/>
    <xf numFmtId="0" fontId="16" fillId="0" borderId="15" xfId="0" applyFont="1" applyBorder="1"/>
    <xf numFmtId="0" fontId="0" fillId="0" borderId="15" xfId="0" applyBorder="1" applyAlignment="1">
      <alignment horizontal="left" vertical="top"/>
    </xf>
    <xf numFmtId="164" fontId="0" fillId="0" borderId="15" xfId="0" applyNumberFormat="1" applyBorder="1" applyAlignment="1">
      <alignment horizontal="right"/>
    </xf>
    <xf numFmtId="164" fontId="0" fillId="40" borderId="15" xfId="0" applyNumberFormat="1" applyFill="1" applyBorder="1" applyAlignment="1">
      <alignment horizontal="right"/>
    </xf>
    <xf numFmtId="164" fontId="0" fillId="41" borderId="15" xfId="0" applyNumberFormat="1" applyFill="1" applyBorder="1" applyAlignment="1">
      <alignment horizontal="right"/>
    </xf>
    <xf numFmtId="10" fontId="0" fillId="0" borderId="16" xfId="43" applyNumberFormat="1" applyFont="1" applyBorder="1" applyAlignment="1">
      <alignment horizontal="right"/>
    </xf>
    <xf numFmtId="164" fontId="0" fillId="41" borderId="15" xfId="0" applyNumberFormat="1" applyFill="1" applyBorder="1" applyAlignment="1">
      <alignment horizontal="right" wrapText="1"/>
    </xf>
    <xf numFmtId="164" fontId="1" fillId="40" borderId="15" xfId="50" applyNumberFormat="1" applyFont="1" applyFill="1" applyBorder="1" applyAlignment="1">
      <alignment horizontal="right"/>
    </xf>
    <xf numFmtId="0" fontId="16" fillId="0" borderId="17" xfId="0" applyFont="1" applyBorder="1"/>
    <xf numFmtId="0" fontId="16" fillId="0" borderId="18" xfId="0" applyFont="1" applyBorder="1"/>
    <xf numFmtId="0" fontId="0" fillId="0" borderId="18" xfId="0" applyBorder="1" applyAlignment="1">
      <alignment horizontal="left" vertical="top"/>
    </xf>
    <xf numFmtId="164" fontId="0" fillId="0" borderId="18" xfId="0" applyNumberFormat="1" applyBorder="1" applyAlignment="1">
      <alignment horizontal="right"/>
    </xf>
    <xf numFmtId="164" fontId="0" fillId="40" borderId="18" xfId="0" applyNumberFormat="1" applyFill="1" applyBorder="1" applyAlignment="1">
      <alignment horizontal="right"/>
    </xf>
    <xf numFmtId="164" fontId="0" fillId="41" borderId="18" xfId="0" applyNumberFormat="1" applyFill="1" applyBorder="1" applyAlignment="1">
      <alignment horizontal="right"/>
    </xf>
    <xf numFmtId="10" fontId="0" fillId="0" borderId="19" xfId="43" applyNumberFormat="1" applyFont="1" applyBorder="1" applyAlignment="1">
      <alignment horizontal="right"/>
    </xf>
    <xf numFmtId="164" fontId="16" fillId="0" borderId="0" xfId="0" applyNumberFormat="1" applyFont="1"/>
    <xf numFmtId="0" fontId="16" fillId="41" borderId="0" xfId="0" applyFont="1" applyFill="1"/>
    <xf numFmtId="164" fontId="16" fillId="41" borderId="0" xfId="0" applyNumberFormat="1" applyFont="1" applyFill="1"/>
    <xf numFmtId="164" fontId="0" fillId="41" borderId="0" xfId="0" applyNumberFormat="1" applyFill="1"/>
    <xf numFmtId="0" fontId="37" fillId="39" borderId="13" xfId="0" applyFont="1" applyFill="1" applyBorder="1" applyAlignment="1">
      <alignment horizontal="center" vertical="center" wrapText="1"/>
    </xf>
    <xf numFmtId="0" fontId="38" fillId="0" borderId="0" xfId="0" applyFont="1" applyAlignment="1">
      <alignment horizontal="center" vertical="center"/>
    </xf>
    <xf numFmtId="4" fontId="37" fillId="39" borderId="0" xfId="0" applyNumberFormat="1" applyFont="1" applyFill="1"/>
    <xf numFmtId="10" fontId="0" fillId="0" borderId="0" xfId="43" applyNumberFormat="1" applyFont="1" applyFill="1"/>
    <xf numFmtId="43" fontId="1" fillId="0" borderId="0" xfId="42" applyFont="1" applyFill="1" applyAlignment="1">
      <alignment horizontal="center" vertical="center" wrapText="1"/>
    </xf>
    <xf numFmtId="43" fontId="16" fillId="0" borderId="0" xfId="42" applyFont="1" applyFill="1" applyAlignment="1">
      <alignment horizontal="center" vertical="center" wrapText="1"/>
    </xf>
    <xf numFmtId="39" fontId="0" fillId="0" borderId="0" xfId="0" applyNumberFormat="1"/>
    <xf numFmtId="1" fontId="0" fillId="0" borderId="0" xfId="0" applyNumberFormat="1" applyAlignment="1">
      <alignment horizontal="center"/>
    </xf>
    <xf numFmtId="171" fontId="0" fillId="0" borderId="0" xfId="0" applyNumberFormat="1" applyAlignment="1">
      <alignment horizontal="center"/>
    </xf>
    <xf numFmtId="180" fontId="0" fillId="0" borderId="0" xfId="0" applyNumberFormat="1"/>
    <xf numFmtId="165" fontId="0" fillId="0" borderId="0" xfId="0" applyNumberFormat="1"/>
    <xf numFmtId="166" fontId="0" fillId="0" borderId="0" xfId="0" applyNumberFormat="1"/>
    <xf numFmtId="0" fontId="37" fillId="39" borderId="0" xfId="0" applyFont="1" applyFill="1" applyAlignment="1">
      <alignment wrapText="1"/>
    </xf>
    <xf numFmtId="165" fontId="0" fillId="0" borderId="0" xfId="0" applyNumberFormat="1" applyAlignment="1">
      <alignment horizontal="center" vertical="center"/>
    </xf>
    <xf numFmtId="1" fontId="34" fillId="0" borderId="0" xfId="0" applyNumberFormat="1" applyFont="1" applyAlignment="1">
      <alignment horizontal="center" vertical="center" wrapText="1"/>
    </xf>
    <xf numFmtId="4" fontId="16" fillId="0" borderId="0" xfId="0" applyNumberFormat="1" applyFont="1"/>
    <xf numFmtId="168" fontId="16" fillId="0" borderId="0" xfId="0" applyNumberFormat="1" applyFont="1"/>
    <xf numFmtId="0" fontId="23" fillId="0" borderId="0" xfId="44" applyFont="1" applyAlignment="1" applyProtection="1">
      <alignment horizontal="right"/>
      <protection hidden="1"/>
    </xf>
    <xf numFmtId="0" fontId="25" fillId="0" borderId="0" xfId="44" applyFont="1" applyAlignment="1" applyProtection="1">
      <alignment horizontal="center"/>
      <protection hidden="1"/>
    </xf>
    <xf numFmtId="0" fontId="32" fillId="0" borderId="0" xfId="0" applyFont="1" applyAlignment="1">
      <alignment horizontal="left"/>
    </xf>
    <xf numFmtId="0" fontId="28" fillId="0" borderId="0" xfId="44" applyFont="1" applyAlignment="1" applyProtection="1">
      <alignment horizontal="center" vertical="center"/>
      <protection hidden="1"/>
    </xf>
    <xf numFmtId="0" fontId="16" fillId="0" borderId="0" xfId="0" applyFont="1" applyAlignment="1">
      <alignment horizontal="left"/>
    </xf>
    <xf numFmtId="0" fontId="34" fillId="0" borderId="0" xfId="0" applyFont="1"/>
    <xf numFmtId="0" fontId="34" fillId="0" borderId="0" xfId="0" applyFont="1" applyAlignment="1">
      <alignment wrapText="1"/>
    </xf>
    <xf numFmtId="9" fontId="0" fillId="0" borderId="0" xfId="0" applyNumberFormat="1" applyAlignment="1">
      <alignment horizontal="left"/>
    </xf>
    <xf numFmtId="0" fontId="0" fillId="42" borderId="0" xfId="0" applyFill="1" applyAlignment="1">
      <alignment horizontal="left"/>
    </xf>
    <xf numFmtId="164" fontId="0" fillId="0" borderId="0" xfId="0" applyNumberFormat="1" applyAlignment="1">
      <alignment horizontal="center" vertical="center" wrapText="1"/>
    </xf>
    <xf numFmtId="49" fontId="0" fillId="0" borderId="0" xfId="0" applyNumberFormat="1"/>
    <xf numFmtId="0" fontId="0" fillId="33" borderId="0" xfId="0" applyFill="1" applyAlignment="1">
      <alignment horizontal="center" vertical="center"/>
    </xf>
    <xf numFmtId="0" fontId="29" fillId="36" borderId="26" xfId="45" applyFont="1" applyFill="1" applyBorder="1" applyAlignment="1" applyProtection="1">
      <alignment vertical="center"/>
      <protection hidden="1"/>
    </xf>
    <xf numFmtId="0" fontId="39" fillId="36" borderId="0" xfId="45" applyFont="1" applyFill="1" applyAlignment="1" applyProtection="1">
      <alignment vertical="center" wrapText="1"/>
      <protection hidden="1"/>
    </xf>
    <xf numFmtId="0" fontId="29" fillId="36" borderId="27" xfId="45" applyFont="1" applyFill="1" applyBorder="1" applyAlignment="1" applyProtection="1">
      <alignment vertical="center" wrapText="1"/>
      <protection hidden="1"/>
    </xf>
    <xf numFmtId="0" fontId="29" fillId="36" borderId="0" xfId="45" applyFont="1" applyFill="1" applyAlignment="1" applyProtection="1">
      <alignment vertical="center" wrapText="1"/>
      <protection hidden="1"/>
    </xf>
    <xf numFmtId="0" fontId="29" fillId="36" borderId="0" xfId="45" applyFont="1" applyFill="1" applyAlignment="1" applyProtection="1">
      <alignment vertical="center"/>
      <protection hidden="1"/>
    </xf>
    <xf numFmtId="0" fontId="29" fillId="36" borderId="27" xfId="45" applyFont="1" applyFill="1" applyBorder="1" applyAlignment="1" applyProtection="1">
      <alignment vertical="center"/>
      <protection hidden="1"/>
    </xf>
    <xf numFmtId="0" fontId="17" fillId="39" borderId="27" xfId="44" applyFont="1" applyFill="1" applyBorder="1" applyProtection="1">
      <protection hidden="1"/>
    </xf>
    <xf numFmtId="0" fontId="13" fillId="39" borderId="26" xfId="44" applyFont="1" applyFill="1" applyBorder="1" applyAlignment="1" applyProtection="1">
      <alignment horizontal="right"/>
      <protection hidden="1"/>
    </xf>
    <xf numFmtId="0" fontId="17" fillId="39" borderId="24" xfId="44" applyFont="1" applyFill="1" applyBorder="1" applyProtection="1">
      <protection hidden="1"/>
    </xf>
    <xf numFmtId="0" fontId="17" fillId="39" borderId="25" xfId="44" applyFont="1" applyFill="1" applyBorder="1" applyProtection="1">
      <protection hidden="1"/>
    </xf>
    <xf numFmtId="0" fontId="17" fillId="39" borderId="29" xfId="44" applyFont="1" applyFill="1" applyBorder="1" applyProtection="1">
      <protection hidden="1"/>
    </xf>
    <xf numFmtId="0" fontId="29" fillId="35" borderId="27" xfId="44" applyFont="1" applyFill="1" applyBorder="1" applyProtection="1">
      <protection hidden="1"/>
    </xf>
    <xf numFmtId="0" fontId="40" fillId="35" borderId="27" xfId="44" applyFont="1" applyFill="1" applyBorder="1" applyAlignment="1" applyProtection="1">
      <alignment horizontal="center"/>
      <protection hidden="1"/>
    </xf>
    <xf numFmtId="43" fontId="40" fillId="35" borderId="27" xfId="48" applyFont="1" applyFill="1" applyBorder="1" applyAlignment="1" applyProtection="1">
      <alignment horizontal="center"/>
      <protection hidden="1"/>
    </xf>
    <xf numFmtId="4" fontId="40" fillId="35" borderId="27" xfId="44" applyNumberFormat="1" applyFont="1" applyFill="1" applyBorder="1" applyAlignment="1" applyProtection="1">
      <alignment horizontal="center"/>
      <protection hidden="1"/>
    </xf>
    <xf numFmtId="43" fontId="39" fillId="35" borderId="27" xfId="48" applyFont="1" applyFill="1" applyBorder="1" applyAlignment="1" applyProtection="1">
      <alignment horizontal="center"/>
      <protection hidden="1"/>
    </xf>
    <xf numFmtId="0" fontId="39" fillId="35" borderId="27" xfId="44" applyFont="1" applyFill="1" applyBorder="1" applyAlignment="1" applyProtection="1">
      <alignment horizontal="center"/>
      <protection hidden="1"/>
    </xf>
    <xf numFmtId="4" fontId="39" fillId="35" borderId="30" xfId="44" applyNumberFormat="1" applyFont="1" applyFill="1" applyBorder="1" applyAlignment="1" applyProtection="1">
      <alignment horizontal="center"/>
      <protection hidden="1"/>
    </xf>
    <xf numFmtId="0" fontId="17" fillId="39" borderId="0" xfId="44" applyFont="1" applyFill="1" applyProtection="1">
      <protection hidden="1"/>
    </xf>
    <xf numFmtId="4" fontId="16" fillId="39" borderId="0" xfId="53" applyNumberFormat="1" applyFont="1" applyFill="1" applyAlignment="1" applyProtection="1">
      <alignment horizontal="center" vertical="top"/>
      <protection hidden="1"/>
    </xf>
    <xf numFmtId="0" fontId="17" fillId="39" borderId="0" xfId="44" applyFont="1" applyFill="1" applyAlignment="1" applyProtection="1">
      <alignment horizontal="center"/>
      <protection hidden="1"/>
    </xf>
    <xf numFmtId="4" fontId="17" fillId="39" borderId="0" xfId="44" applyNumberFormat="1" applyFont="1" applyFill="1" applyProtection="1">
      <protection hidden="1"/>
    </xf>
    <xf numFmtId="0" fontId="49" fillId="35" borderId="27" xfId="53" applyFont="1" applyFill="1" applyBorder="1" applyAlignment="1" applyProtection="1">
      <alignment horizontal="center" vertical="top"/>
      <protection hidden="1"/>
    </xf>
    <xf numFmtId="0" fontId="44" fillId="39" borderId="0" xfId="44" applyFont="1" applyFill="1" applyAlignment="1" applyProtection="1">
      <alignment horizontal="center"/>
      <protection hidden="1"/>
    </xf>
    <xf numFmtId="43" fontId="17" fillId="39" borderId="0" xfId="44" applyNumberFormat="1" applyFont="1" applyFill="1" applyProtection="1">
      <protection hidden="1"/>
    </xf>
    <xf numFmtId="174" fontId="17" fillId="39" borderId="29" xfId="44" applyNumberFormat="1" applyFont="1" applyFill="1" applyBorder="1" applyAlignment="1" applyProtection="1">
      <alignment horizontal="center" vertical="top"/>
      <protection hidden="1"/>
    </xf>
    <xf numFmtId="4" fontId="13" fillId="39" borderId="29" xfId="44" applyNumberFormat="1" applyFont="1" applyFill="1" applyBorder="1" applyAlignment="1" applyProtection="1">
      <alignment horizontal="center"/>
      <protection hidden="1"/>
    </xf>
    <xf numFmtId="4" fontId="40" fillId="35" borderId="29" xfId="53" applyNumberFormat="1" applyFont="1" applyFill="1" applyBorder="1" applyAlignment="1" applyProtection="1">
      <alignment horizontal="center" vertical="top"/>
      <protection hidden="1"/>
    </xf>
    <xf numFmtId="0" fontId="40" fillId="35" borderId="30" xfId="53" applyFont="1" applyFill="1" applyBorder="1" applyAlignment="1" applyProtection="1">
      <alignment horizontal="center" vertical="top"/>
      <protection hidden="1"/>
    </xf>
    <xf numFmtId="49" fontId="45" fillId="39" borderId="0" xfId="44" applyNumberFormat="1" applyFont="1" applyFill="1" applyAlignment="1" applyProtection="1">
      <alignment horizontal="left"/>
      <protection hidden="1"/>
    </xf>
    <xf numFmtId="4" fontId="45" fillId="39" borderId="27" xfId="44" applyNumberFormat="1" applyFont="1" applyFill="1" applyBorder="1" applyAlignment="1" applyProtection="1">
      <alignment horizontal="center"/>
      <protection hidden="1"/>
    </xf>
    <xf numFmtId="0" fontId="29" fillId="36" borderId="0" xfId="44" applyFont="1" applyFill="1" applyProtection="1">
      <protection hidden="1"/>
    </xf>
    <xf numFmtId="0" fontId="16" fillId="36" borderId="0" xfId="44" applyFont="1" applyFill="1" applyAlignment="1" applyProtection="1">
      <alignment horizontal="right" vertical="center"/>
      <protection hidden="1"/>
    </xf>
    <xf numFmtId="0" fontId="29" fillId="36" borderId="26" xfId="44" applyFont="1" applyFill="1" applyBorder="1" applyAlignment="1" applyProtection="1">
      <alignment horizontal="center" vertical="center"/>
      <protection hidden="1"/>
    </xf>
    <xf numFmtId="0" fontId="29" fillId="36" borderId="0" xfId="44" applyFont="1" applyFill="1" applyAlignment="1" applyProtection="1">
      <alignment horizontal="left" vertical="center"/>
      <protection hidden="1"/>
    </xf>
    <xf numFmtId="164" fontId="29" fillId="36" borderId="0" xfId="44" applyNumberFormat="1" applyFont="1" applyFill="1" applyAlignment="1" applyProtection="1">
      <alignment horizontal="right" vertical="center"/>
      <protection hidden="1"/>
    </xf>
    <xf numFmtId="0" fontId="29" fillId="36" borderId="26" xfId="44" applyFont="1" applyFill="1" applyBorder="1" applyAlignment="1" applyProtection="1">
      <alignment horizontal="center"/>
      <protection hidden="1"/>
    </xf>
    <xf numFmtId="177" fontId="29" fillId="36" borderId="0" xfId="47" applyNumberFormat="1" applyFont="1" applyFill="1" applyBorder="1" applyProtection="1">
      <protection hidden="1"/>
    </xf>
    <xf numFmtId="4" fontId="29" fillId="36" borderId="0" xfId="44" applyNumberFormat="1" applyFont="1" applyFill="1" applyAlignment="1" applyProtection="1">
      <alignment horizontal="right"/>
      <protection hidden="1"/>
    </xf>
    <xf numFmtId="0" fontId="29" fillId="36" borderId="0" xfId="44" applyFont="1" applyFill="1" applyAlignment="1" applyProtection="1">
      <alignment vertical="center"/>
      <protection hidden="1"/>
    </xf>
    <xf numFmtId="4" fontId="29" fillId="36" borderId="0" xfId="44" applyNumberFormat="1" applyFont="1" applyFill="1" applyProtection="1">
      <protection hidden="1"/>
    </xf>
    <xf numFmtId="4" fontId="1" fillId="36" borderId="0" xfId="44" applyNumberFormat="1" applyFont="1" applyFill="1" applyProtection="1">
      <protection hidden="1"/>
    </xf>
    <xf numFmtId="0" fontId="29" fillId="36" borderId="0" xfId="44" applyFont="1" applyFill="1" applyAlignment="1" applyProtection="1">
      <alignment horizontal="center"/>
      <protection hidden="1"/>
    </xf>
    <xf numFmtId="177" fontId="1" fillId="36" borderId="0" xfId="44" applyNumberFormat="1" applyFont="1" applyFill="1" applyProtection="1">
      <protection hidden="1"/>
    </xf>
    <xf numFmtId="175" fontId="29" fillId="36" borderId="0" xfId="47" applyNumberFormat="1" applyFont="1" applyFill="1" applyBorder="1" applyProtection="1">
      <protection hidden="1"/>
    </xf>
    <xf numFmtId="173" fontId="1" fillId="36" borderId="0" xfId="44" applyNumberFormat="1" applyFont="1" applyFill="1" applyProtection="1">
      <protection hidden="1"/>
    </xf>
    <xf numFmtId="176" fontId="29" fillId="36" borderId="0" xfId="44" applyNumberFormat="1" applyFont="1" applyFill="1" applyProtection="1">
      <protection hidden="1"/>
    </xf>
    <xf numFmtId="172" fontId="29" fillId="36" borderId="0" xfId="44" applyNumberFormat="1" applyFont="1" applyFill="1" applyAlignment="1" applyProtection="1">
      <alignment horizontal="right"/>
      <protection hidden="1"/>
    </xf>
    <xf numFmtId="164" fontId="29" fillId="36" borderId="0" xfId="44" applyNumberFormat="1" applyFont="1" applyFill="1" applyAlignment="1" applyProtection="1">
      <alignment horizontal="right"/>
      <protection hidden="1"/>
    </xf>
    <xf numFmtId="0" fontId="29" fillId="36" borderId="0" xfId="44" applyFont="1" applyFill="1" applyAlignment="1" applyProtection="1">
      <alignment horizontal="center" vertical="center"/>
      <protection hidden="1"/>
    </xf>
    <xf numFmtId="178" fontId="29" fillId="36" borderId="0" xfId="44" applyNumberFormat="1" applyFont="1" applyFill="1" applyAlignment="1" applyProtection="1">
      <alignment horizontal="right" vertical="center"/>
      <protection hidden="1"/>
    </xf>
    <xf numFmtId="164" fontId="29" fillId="36" borderId="0" xfId="44" applyNumberFormat="1" applyFont="1" applyFill="1" applyProtection="1">
      <protection hidden="1"/>
    </xf>
    <xf numFmtId="164" fontId="1" fillId="36" borderId="0" xfId="44" applyNumberFormat="1" applyFont="1" applyFill="1" applyAlignment="1" applyProtection="1">
      <alignment vertical="center"/>
      <protection hidden="1"/>
    </xf>
    <xf numFmtId="166" fontId="29" fillId="36" borderId="0" xfId="44" applyNumberFormat="1" applyFont="1" applyFill="1" applyAlignment="1" applyProtection="1">
      <alignment horizontal="right"/>
      <protection hidden="1"/>
    </xf>
    <xf numFmtId="4" fontId="29" fillId="36" borderId="0" xfId="48" applyNumberFormat="1" applyFont="1" applyFill="1" applyBorder="1" applyAlignment="1" applyProtection="1">
      <protection hidden="1"/>
    </xf>
    <xf numFmtId="0" fontId="39" fillId="36" borderId="28" xfId="44" applyFont="1" applyFill="1" applyBorder="1" applyAlignment="1" applyProtection="1">
      <alignment horizontal="center"/>
      <protection hidden="1"/>
    </xf>
    <xf numFmtId="164" fontId="39" fillId="36" borderId="29" xfId="48" applyNumberFormat="1" applyFont="1" applyFill="1" applyBorder="1" applyAlignment="1" applyProtection="1">
      <protection hidden="1"/>
    </xf>
    <xf numFmtId="0" fontId="39" fillId="36" borderId="0" xfId="44" applyFont="1" applyFill="1" applyAlignment="1" applyProtection="1">
      <alignment horizontal="center"/>
      <protection hidden="1"/>
    </xf>
    <xf numFmtId="43" fontId="29" fillId="36" borderId="0" xfId="42" applyFont="1" applyFill="1" applyProtection="1">
      <protection hidden="1"/>
    </xf>
    <xf numFmtId="43" fontId="29" fillId="36" borderId="0" xfId="44" applyNumberFormat="1" applyFont="1" applyFill="1" applyProtection="1">
      <protection hidden="1"/>
    </xf>
    <xf numFmtId="8" fontId="29" fillId="36" borderId="0" xfId="44" applyNumberFormat="1" applyFont="1" applyFill="1" applyProtection="1">
      <protection hidden="1"/>
    </xf>
    <xf numFmtId="0" fontId="20" fillId="36" borderId="0" xfId="44" applyFont="1" applyFill="1" applyProtection="1">
      <protection hidden="1"/>
    </xf>
    <xf numFmtId="0" fontId="22" fillId="36" borderId="0" xfId="44" applyFont="1" applyFill="1" applyProtection="1">
      <protection hidden="1"/>
    </xf>
    <xf numFmtId="0" fontId="23" fillId="36" borderId="0" xfId="44" applyFont="1" applyFill="1" applyProtection="1">
      <protection hidden="1"/>
    </xf>
    <xf numFmtId="0" fontId="25" fillId="36" borderId="0" xfId="44" applyFont="1" applyFill="1" applyProtection="1">
      <protection hidden="1"/>
    </xf>
    <xf numFmtId="0" fontId="25" fillId="36" borderId="26" xfId="44" applyFont="1" applyFill="1" applyBorder="1" applyAlignment="1" applyProtection="1">
      <alignment horizontal="center"/>
      <protection hidden="1"/>
    </xf>
    <xf numFmtId="164" fontId="25" fillId="36" borderId="0" xfId="44" applyNumberFormat="1" applyFont="1" applyFill="1" applyAlignment="1" applyProtection="1">
      <alignment horizontal="right"/>
      <protection hidden="1"/>
    </xf>
    <xf numFmtId="164" fontId="25" fillId="36" borderId="27" xfId="44" applyNumberFormat="1" applyFont="1" applyFill="1" applyBorder="1" applyAlignment="1" applyProtection="1">
      <alignment horizontal="right"/>
      <protection hidden="1"/>
    </xf>
    <xf numFmtId="164" fontId="19" fillId="36" borderId="0" xfId="44" applyNumberFormat="1" applyFill="1" applyAlignment="1" applyProtection="1">
      <alignment horizontal="right"/>
      <protection hidden="1"/>
    </xf>
    <xf numFmtId="0" fontId="25" fillId="36" borderId="0" xfId="44" applyFont="1" applyFill="1" applyAlignment="1" applyProtection="1">
      <alignment horizontal="center"/>
      <protection hidden="1"/>
    </xf>
    <xf numFmtId="164" fontId="19" fillId="36" borderId="0" xfId="44" applyNumberFormat="1" applyFill="1" applyProtection="1">
      <protection hidden="1"/>
    </xf>
    <xf numFmtId="0" fontId="31" fillId="36" borderId="26" xfId="44" applyFont="1" applyFill="1" applyBorder="1" applyAlignment="1" applyProtection="1">
      <alignment horizontal="center"/>
      <protection hidden="1"/>
    </xf>
    <xf numFmtId="164" fontId="31" fillId="36" borderId="27" xfId="44" applyNumberFormat="1" applyFont="1" applyFill="1" applyBorder="1" applyAlignment="1" applyProtection="1">
      <alignment horizontal="right"/>
      <protection hidden="1"/>
    </xf>
    <xf numFmtId="164" fontId="25" fillId="36" borderId="0" xfId="44" applyNumberFormat="1" applyFont="1" applyFill="1" applyProtection="1">
      <protection hidden="1"/>
    </xf>
    <xf numFmtId="0" fontId="25" fillId="36" borderId="26" xfId="44" applyFont="1" applyFill="1" applyBorder="1" applyAlignment="1" applyProtection="1">
      <alignment horizontal="right" vertical="center"/>
      <protection hidden="1"/>
    </xf>
    <xf numFmtId="172" fontId="25" fillId="36" borderId="27" xfId="44" applyNumberFormat="1" applyFont="1" applyFill="1" applyBorder="1" applyAlignment="1" applyProtection="1">
      <alignment horizontal="right"/>
      <protection hidden="1"/>
    </xf>
    <xf numFmtId="0" fontId="25" fillId="36" borderId="28" xfId="44" applyFont="1" applyFill="1" applyBorder="1" applyAlignment="1" applyProtection="1">
      <alignment horizontal="center" vertical="center"/>
      <protection hidden="1"/>
    </xf>
    <xf numFmtId="172" fontId="25" fillId="36" borderId="30" xfId="44" applyNumberFormat="1" applyFont="1" applyFill="1" applyBorder="1" applyAlignment="1" applyProtection="1">
      <alignment horizontal="right"/>
      <protection hidden="1"/>
    </xf>
    <xf numFmtId="4" fontId="25" fillId="36" borderId="0" xfId="44" applyNumberFormat="1" applyFont="1" applyFill="1" applyAlignment="1" applyProtection="1">
      <alignment horizontal="right"/>
      <protection hidden="1"/>
    </xf>
    <xf numFmtId="43" fontId="25" fillId="36" borderId="0" xfId="48" applyFont="1" applyFill="1" applyProtection="1">
      <protection hidden="1"/>
    </xf>
    <xf numFmtId="4" fontId="25" fillId="36" borderId="0" xfId="44" applyNumberFormat="1" applyFont="1" applyFill="1" applyProtection="1">
      <protection hidden="1"/>
    </xf>
    <xf numFmtId="0" fontId="45" fillId="39" borderId="0" xfId="44" applyFont="1" applyFill="1" applyProtection="1">
      <protection hidden="1"/>
    </xf>
    <xf numFmtId="0" fontId="45" fillId="39" borderId="0" xfId="44" applyFont="1" applyFill="1" applyAlignment="1" applyProtection="1">
      <alignment horizontal="right"/>
      <protection hidden="1"/>
    </xf>
    <xf numFmtId="0" fontId="48" fillId="39" borderId="23" xfId="45" applyFont="1" applyFill="1" applyBorder="1" applyAlignment="1" applyProtection="1">
      <alignment vertical="center"/>
      <protection hidden="1"/>
    </xf>
    <xf numFmtId="0" fontId="48" fillId="39" borderId="24" xfId="45" applyFont="1" applyFill="1" applyBorder="1" applyAlignment="1" applyProtection="1">
      <alignment vertical="center"/>
      <protection hidden="1"/>
    </xf>
    <xf numFmtId="0" fontId="42" fillId="36" borderId="0" xfId="45" applyFont="1" applyFill="1" applyProtection="1">
      <protection hidden="1"/>
    </xf>
    <xf numFmtId="0" fontId="29" fillId="36" borderId="26" xfId="45" applyFont="1" applyFill="1" applyBorder="1" applyAlignment="1" applyProtection="1">
      <alignment horizontal="center" vertical="center"/>
      <protection hidden="1"/>
    </xf>
    <xf numFmtId="0" fontId="42" fillId="36" borderId="0" xfId="45" applyFont="1" applyFill="1" applyAlignment="1" applyProtection="1">
      <alignment vertical="center"/>
      <protection hidden="1"/>
    </xf>
    <xf numFmtId="164" fontId="1" fillId="36" borderId="0" xfId="44" applyNumberFormat="1" applyFont="1" applyFill="1" applyAlignment="1" applyProtection="1">
      <alignment horizontal="right" vertical="center"/>
      <protection hidden="1"/>
    </xf>
    <xf numFmtId="43" fontId="16" fillId="35" borderId="27" xfId="48" applyFont="1" applyFill="1" applyBorder="1" applyAlignment="1" applyProtection="1">
      <alignment horizontal="center"/>
      <protection hidden="1"/>
    </xf>
    <xf numFmtId="0" fontId="13" fillId="39" borderId="0" xfId="0" applyFont="1" applyFill="1" applyAlignment="1" applyProtection="1">
      <alignment horizontal="center" vertical="center" wrapText="1"/>
      <protection hidden="1"/>
    </xf>
    <xf numFmtId="0" fontId="16"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0" fillId="0" borderId="0" xfId="0" applyProtection="1">
      <protection hidden="1"/>
    </xf>
    <xf numFmtId="4" fontId="0" fillId="0" borderId="0" xfId="0" applyNumberFormat="1" applyProtection="1">
      <protection hidden="1"/>
    </xf>
    <xf numFmtId="49" fontId="0" fillId="0" borderId="0" xfId="0" applyNumberFormat="1" applyProtection="1">
      <protection hidden="1"/>
    </xf>
    <xf numFmtId="4" fontId="0" fillId="35" borderId="0" xfId="0" applyNumberFormat="1" applyFill="1" applyProtection="1">
      <protection locked="0"/>
    </xf>
    <xf numFmtId="0" fontId="13" fillId="39"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8" fontId="0" fillId="35" borderId="0" xfId="0" applyNumberFormat="1" applyFill="1" applyProtection="1">
      <protection hidden="1"/>
    </xf>
    <xf numFmtId="8" fontId="0" fillId="0" borderId="0" xfId="0" applyNumberFormat="1" applyProtection="1">
      <protection hidden="1"/>
    </xf>
    <xf numFmtId="8" fontId="0" fillId="35" borderId="0" xfId="0" applyNumberFormat="1" applyFill="1" applyProtection="1">
      <protection locked="0"/>
    </xf>
    <xf numFmtId="0" fontId="41" fillId="36" borderId="0" xfId="54" applyFill="1" applyAlignment="1" applyProtection="1">
      <alignment horizontal="left" vertical="center" wrapText="1"/>
      <protection hidden="1"/>
    </xf>
    <xf numFmtId="0" fontId="36" fillId="39" borderId="23" xfId="55" applyFont="1" applyFill="1" applyBorder="1" applyAlignment="1" applyProtection="1">
      <alignment horizontal="center" vertical="center" wrapText="1"/>
      <protection hidden="1"/>
    </xf>
    <xf numFmtId="0" fontId="36" fillId="39" borderId="24" xfId="55" applyFont="1" applyFill="1" applyBorder="1" applyAlignment="1" applyProtection="1">
      <alignment horizontal="center" vertical="center" wrapText="1"/>
      <protection hidden="1"/>
    </xf>
    <xf numFmtId="0" fontId="36" fillId="39" borderId="25" xfId="55" applyFont="1" applyFill="1" applyBorder="1" applyAlignment="1" applyProtection="1">
      <alignment horizontal="left" vertical="center" wrapText="1"/>
      <protection hidden="1"/>
    </xf>
    <xf numFmtId="0" fontId="16" fillId="36" borderId="26" xfId="55" applyFont="1" applyFill="1" applyBorder="1" applyAlignment="1" applyProtection="1">
      <alignment horizontal="left" vertical="center" wrapText="1"/>
      <protection hidden="1"/>
    </xf>
    <xf numFmtId="0" fontId="29" fillId="36" borderId="0" xfId="55" applyFont="1" applyFill="1" applyAlignment="1" applyProtection="1">
      <alignment horizontal="left" vertical="center" wrapText="1"/>
      <protection hidden="1"/>
    </xf>
    <xf numFmtId="0" fontId="32" fillId="36" borderId="27" xfId="55" applyFont="1" applyFill="1" applyBorder="1" applyAlignment="1" applyProtection="1">
      <alignment horizontal="left" vertical="center" wrapText="1"/>
      <protection hidden="1"/>
    </xf>
    <xf numFmtId="0" fontId="32" fillId="36" borderId="0" xfId="55" applyFont="1" applyFill="1" applyAlignment="1" applyProtection="1">
      <alignment vertical="center" wrapText="1"/>
      <protection hidden="1"/>
    </xf>
    <xf numFmtId="0" fontId="32" fillId="36" borderId="0" xfId="55" applyFont="1" applyFill="1" applyAlignment="1" applyProtection="1">
      <alignment vertical="center"/>
      <protection hidden="1"/>
    </xf>
    <xf numFmtId="10" fontId="32" fillId="36" borderId="27" xfId="55" applyNumberFormat="1" applyFont="1" applyFill="1" applyBorder="1" applyAlignment="1" applyProtection="1">
      <alignment horizontal="left" vertical="center" wrapText="1"/>
      <protection hidden="1"/>
    </xf>
    <xf numFmtId="164" fontId="32" fillId="36" borderId="27" xfId="55" applyNumberFormat="1" applyFont="1" applyFill="1" applyBorder="1" applyAlignment="1" applyProtection="1">
      <alignment horizontal="left" vertical="center" wrapText="1"/>
      <protection hidden="1"/>
    </xf>
    <xf numFmtId="9" fontId="32" fillId="36" borderId="27" xfId="55" applyNumberFormat="1" applyFont="1" applyFill="1" applyBorder="1" applyAlignment="1" applyProtection="1">
      <alignment horizontal="left" vertical="center" wrapText="1"/>
      <protection hidden="1"/>
    </xf>
    <xf numFmtId="181" fontId="32" fillId="36" borderId="27" xfId="55" applyNumberFormat="1" applyFont="1" applyFill="1" applyBorder="1" applyAlignment="1" applyProtection="1">
      <alignment horizontal="left" vertical="center" wrapText="1"/>
      <protection hidden="1"/>
    </xf>
    <xf numFmtId="0" fontId="16" fillId="36" borderId="28" xfId="55" applyFont="1" applyFill="1" applyBorder="1" applyAlignment="1" applyProtection="1">
      <alignment horizontal="left" vertical="center" wrapText="1"/>
      <protection hidden="1"/>
    </xf>
    <xf numFmtId="0" fontId="29" fillId="36" borderId="29" xfId="55" applyFont="1" applyFill="1" applyBorder="1" applyAlignment="1" applyProtection="1">
      <alignment horizontal="left" vertical="center" wrapText="1"/>
      <protection hidden="1"/>
    </xf>
    <xf numFmtId="0" fontId="32" fillId="36" borderId="30" xfId="55" applyFont="1" applyFill="1" applyBorder="1" applyAlignment="1" applyProtection="1">
      <alignment horizontal="left" vertical="center" wrapText="1"/>
      <protection hidden="1"/>
    </xf>
    <xf numFmtId="2" fontId="0" fillId="0" borderId="0" xfId="0" applyNumberFormat="1" applyProtection="1">
      <protection hidden="1"/>
    </xf>
    <xf numFmtId="0" fontId="0" fillId="35" borderId="0" xfId="0" applyFill="1" applyProtection="1">
      <protection locked="0"/>
    </xf>
    <xf numFmtId="49" fontId="50" fillId="0" borderId="0" xfId="0" applyNumberFormat="1" applyFont="1" applyAlignment="1" applyProtection="1">
      <alignment horizontal="center" vertical="center"/>
      <protection locked="0"/>
    </xf>
    <xf numFmtId="0" fontId="29" fillId="36" borderId="0" xfId="45" applyFont="1" applyFill="1" applyAlignment="1" applyProtection="1">
      <alignment horizontal="left" vertical="center" wrapText="1"/>
      <protection hidden="1"/>
    </xf>
    <xf numFmtId="0" fontId="29" fillId="36" borderId="27" xfId="45" applyFont="1" applyFill="1" applyBorder="1" applyAlignment="1" applyProtection="1">
      <alignment horizontal="left" vertical="center" wrapText="1"/>
      <protection hidden="1"/>
    </xf>
    <xf numFmtId="0" fontId="35" fillId="36" borderId="20" xfId="54" applyFont="1" applyFill="1" applyBorder="1" applyAlignment="1" applyProtection="1">
      <alignment horizontal="left" vertical="center" wrapText="1"/>
      <protection hidden="1"/>
    </xf>
    <xf numFmtId="0" fontId="35" fillId="36" borderId="21" xfId="54" applyFont="1" applyFill="1" applyBorder="1" applyAlignment="1" applyProtection="1">
      <alignment horizontal="left" vertical="center" wrapText="1"/>
      <protection hidden="1"/>
    </xf>
    <xf numFmtId="0" fontId="35" fillId="36" borderId="22" xfId="54" applyFont="1" applyFill="1" applyBorder="1" applyAlignment="1" applyProtection="1">
      <alignment horizontal="left" vertical="center" wrapText="1"/>
      <protection hidden="1"/>
    </xf>
    <xf numFmtId="0" fontId="43" fillId="39" borderId="23" xfId="45" applyFont="1" applyFill="1" applyBorder="1" applyAlignment="1" applyProtection="1">
      <alignment horizontal="center" vertical="center"/>
      <protection hidden="1"/>
    </xf>
    <xf numFmtId="0" fontId="43" fillId="39" borderId="24" xfId="45" applyFont="1" applyFill="1" applyBorder="1" applyAlignment="1" applyProtection="1">
      <alignment horizontal="center" vertical="center"/>
      <protection hidden="1"/>
    </xf>
    <xf numFmtId="0" fontId="43" fillId="39" borderId="25" xfId="45" applyFont="1" applyFill="1" applyBorder="1" applyAlignment="1" applyProtection="1">
      <alignment horizontal="center" vertical="center"/>
      <protection hidden="1"/>
    </xf>
    <xf numFmtId="0" fontId="40" fillId="36" borderId="26" xfId="45" applyFont="1" applyFill="1" applyBorder="1" applyAlignment="1" applyProtection="1">
      <alignment vertical="center" wrapText="1"/>
      <protection hidden="1"/>
    </xf>
    <xf numFmtId="0" fontId="40" fillId="36" borderId="0" xfId="45" applyFont="1" applyFill="1" applyAlignment="1" applyProtection="1">
      <alignment vertical="center" wrapText="1"/>
      <protection hidden="1"/>
    </xf>
    <xf numFmtId="0" fontId="40" fillId="36" borderId="27" xfId="45" applyFont="1" applyFill="1" applyBorder="1" applyAlignment="1" applyProtection="1">
      <alignment vertical="center" wrapText="1"/>
      <protection hidden="1"/>
    </xf>
    <xf numFmtId="0" fontId="39" fillId="36" borderId="29" xfId="44" applyFont="1" applyFill="1" applyBorder="1" applyAlignment="1" applyProtection="1">
      <alignment horizontal="left" vertical="center"/>
      <protection hidden="1"/>
    </xf>
    <xf numFmtId="0" fontId="16" fillId="36" borderId="29" xfId="0" applyFont="1" applyFill="1" applyBorder="1" applyAlignment="1" applyProtection="1">
      <alignment horizontal="left" vertical="center"/>
      <protection hidden="1"/>
    </xf>
    <xf numFmtId="0" fontId="29" fillId="36" borderId="0" xfId="44" applyFont="1" applyFill="1" applyAlignment="1" applyProtection="1">
      <alignment horizontal="left" vertical="center"/>
      <protection hidden="1"/>
    </xf>
    <xf numFmtId="0" fontId="1" fillId="36" borderId="0" xfId="0" applyFont="1" applyFill="1" applyAlignment="1" applyProtection="1">
      <alignment horizontal="left" vertical="center"/>
      <protection hidden="1"/>
    </xf>
    <xf numFmtId="0" fontId="1" fillId="36" borderId="0" xfId="44" applyFont="1" applyFill="1" applyAlignment="1" applyProtection="1">
      <alignment horizontal="left" vertical="center"/>
      <protection hidden="1"/>
    </xf>
    <xf numFmtId="0" fontId="29" fillId="36" borderId="0" xfId="44" applyFont="1" applyFill="1" applyAlignment="1" applyProtection="1">
      <alignment horizontal="center"/>
      <protection hidden="1"/>
    </xf>
    <xf numFmtId="0" fontId="29" fillId="36" borderId="26" xfId="44" applyFont="1" applyFill="1" applyBorder="1" applyAlignment="1" applyProtection="1">
      <alignment horizontal="left" vertical="center"/>
      <protection hidden="1"/>
    </xf>
    <xf numFmtId="0" fontId="29" fillId="36" borderId="0" xfId="44" applyFont="1" applyFill="1" applyAlignment="1" applyProtection="1">
      <alignment horizontal="left"/>
      <protection hidden="1"/>
    </xf>
    <xf numFmtId="0" fontId="1" fillId="36" borderId="0" xfId="0" applyFont="1" applyFill="1" applyAlignment="1" applyProtection="1">
      <alignment horizontal="left"/>
      <protection hidden="1"/>
    </xf>
    <xf numFmtId="0" fontId="13" fillId="39" borderId="0" xfId="44" applyFont="1" applyFill="1" applyAlignment="1" applyProtection="1">
      <alignment horizontal="center"/>
      <protection hidden="1"/>
    </xf>
    <xf numFmtId="0" fontId="1" fillId="36" borderId="26" xfId="44" applyFont="1" applyFill="1" applyBorder="1" applyAlignment="1" applyProtection="1">
      <alignment horizontal="left" vertical="center"/>
      <protection hidden="1"/>
    </xf>
    <xf numFmtId="0" fontId="13" fillId="39" borderId="26" xfId="44" applyFont="1" applyFill="1" applyBorder="1" applyAlignment="1" applyProtection="1">
      <alignment horizontal="right"/>
      <protection hidden="1"/>
    </xf>
    <xf numFmtId="0" fontId="13" fillId="39" borderId="0" xfId="44" applyFont="1" applyFill="1" applyAlignment="1" applyProtection="1">
      <alignment horizontal="right"/>
      <protection hidden="1"/>
    </xf>
    <xf numFmtId="0" fontId="17" fillId="39" borderId="0" xfId="44" applyFont="1" applyFill="1" applyAlignment="1" applyProtection="1">
      <alignment horizontal="center"/>
      <protection hidden="1"/>
    </xf>
    <xf numFmtId="0" fontId="13" fillId="39" borderId="28" xfId="44" applyFont="1" applyFill="1" applyBorder="1" applyAlignment="1" applyProtection="1">
      <alignment horizontal="right"/>
      <protection hidden="1"/>
    </xf>
    <xf numFmtId="0" fontId="13" fillId="39" borderId="29" xfId="44" applyFont="1" applyFill="1" applyBorder="1" applyAlignment="1" applyProtection="1">
      <alignment horizontal="right"/>
      <protection hidden="1"/>
    </xf>
    <xf numFmtId="0" fontId="13" fillId="39" borderId="29" xfId="44" applyFont="1" applyFill="1" applyBorder="1" applyAlignment="1" applyProtection="1">
      <alignment horizontal="left"/>
      <protection hidden="1"/>
    </xf>
    <xf numFmtId="0" fontId="17" fillId="39" borderId="29" xfId="44" applyFont="1" applyFill="1" applyBorder="1" applyAlignment="1" applyProtection="1">
      <alignment horizontal="right" vertical="top"/>
      <protection hidden="1"/>
    </xf>
    <xf numFmtId="0" fontId="17" fillId="39" borderId="26" xfId="44" applyFont="1" applyFill="1" applyBorder="1" applyAlignment="1" applyProtection="1">
      <alignment horizontal="center"/>
      <protection hidden="1"/>
    </xf>
    <xf numFmtId="0" fontId="48" fillId="39" borderId="26" xfId="45" applyFont="1" applyFill="1" applyBorder="1" applyAlignment="1" applyProtection="1">
      <alignment horizontal="center" vertical="center"/>
      <protection hidden="1"/>
    </xf>
    <xf numFmtId="0" fontId="48" fillId="39" borderId="0" xfId="45" applyFont="1" applyFill="1" applyAlignment="1" applyProtection="1">
      <alignment horizontal="center" vertical="center"/>
      <protection hidden="1"/>
    </xf>
    <xf numFmtId="0" fontId="48" fillId="39" borderId="27" xfId="45" applyFont="1" applyFill="1" applyBorder="1" applyAlignment="1" applyProtection="1">
      <alignment horizontal="center" vertical="center"/>
      <protection hidden="1"/>
    </xf>
    <xf numFmtId="0" fontId="48" fillId="39" borderId="26" xfId="46" applyFont="1" applyFill="1" applyBorder="1" applyAlignment="1" applyProtection="1">
      <alignment horizontal="center" vertical="center"/>
      <protection hidden="1"/>
    </xf>
    <xf numFmtId="0" fontId="48" fillId="39" borderId="0" xfId="46" applyFont="1" applyFill="1" applyAlignment="1" applyProtection="1">
      <alignment horizontal="center" vertical="center"/>
      <protection hidden="1"/>
    </xf>
    <xf numFmtId="0" fontId="48" fillId="39" borderId="27" xfId="46" applyFont="1" applyFill="1" applyBorder="1" applyAlignment="1" applyProtection="1">
      <alignment horizontal="center" vertical="center"/>
      <protection hidden="1"/>
    </xf>
    <xf numFmtId="0" fontId="43" fillId="39" borderId="26" xfId="53" applyFont="1" applyFill="1" applyBorder="1" applyAlignment="1" applyProtection="1">
      <alignment horizontal="center" vertical="center"/>
      <protection hidden="1"/>
    </xf>
    <xf numFmtId="0" fontId="43" fillId="39" borderId="0" xfId="53" applyFont="1" applyFill="1" applyAlignment="1" applyProtection="1">
      <alignment horizontal="center" vertical="center"/>
      <protection hidden="1"/>
    </xf>
    <xf numFmtId="0" fontId="43" fillId="39" borderId="27" xfId="53" applyFont="1" applyFill="1" applyBorder="1" applyAlignment="1" applyProtection="1">
      <alignment horizontal="center" vertical="center"/>
      <protection hidden="1"/>
    </xf>
    <xf numFmtId="0" fontId="28" fillId="36" borderId="0" xfId="44" applyFont="1" applyFill="1" applyAlignment="1" applyProtection="1">
      <alignment horizontal="left" vertical="center"/>
      <protection hidden="1"/>
    </xf>
    <xf numFmtId="0" fontId="31" fillId="36" borderId="26" xfId="44" applyFont="1" applyFill="1" applyBorder="1" applyAlignment="1" applyProtection="1">
      <alignment horizontal="left"/>
      <protection hidden="1"/>
    </xf>
    <xf numFmtId="0" fontId="31" fillId="36" borderId="0" xfId="44" applyFont="1" applyFill="1" applyAlignment="1" applyProtection="1">
      <alignment horizontal="left"/>
      <protection hidden="1"/>
    </xf>
    <xf numFmtId="0" fontId="31" fillId="36" borderId="27" xfId="44" applyFont="1" applyFill="1" applyBorder="1" applyAlignment="1" applyProtection="1">
      <alignment horizontal="left"/>
      <protection hidden="1"/>
    </xf>
    <xf numFmtId="0" fontId="32" fillId="36" borderId="26" xfId="0" applyFont="1" applyFill="1" applyBorder="1" applyAlignment="1" applyProtection="1">
      <alignment horizontal="left"/>
      <protection hidden="1"/>
    </xf>
    <xf numFmtId="0" fontId="32" fillId="36" borderId="0" xfId="0" applyFont="1" applyFill="1" applyAlignment="1" applyProtection="1">
      <alignment horizontal="left"/>
      <protection hidden="1"/>
    </xf>
    <xf numFmtId="0" fontId="0" fillId="36" borderId="0" xfId="0" applyFill="1" applyAlignment="1" applyProtection="1">
      <alignment horizontal="left"/>
      <protection hidden="1"/>
    </xf>
    <xf numFmtId="0" fontId="0" fillId="36" borderId="29" xfId="0" applyFill="1" applyBorder="1" applyAlignment="1" applyProtection="1">
      <alignment horizontal="left" vertical="center"/>
      <protection hidden="1"/>
    </xf>
    <xf numFmtId="0" fontId="25" fillId="36" borderId="0" xfId="44" applyFont="1" applyFill="1" applyAlignment="1" applyProtection="1">
      <alignment horizontal="center"/>
      <protection hidden="1"/>
    </xf>
    <xf numFmtId="0" fontId="25" fillId="36" borderId="26" xfId="44" applyFont="1" applyFill="1" applyBorder="1" applyAlignment="1" applyProtection="1">
      <alignment horizontal="center"/>
      <protection hidden="1"/>
    </xf>
    <xf numFmtId="0" fontId="25" fillId="36" borderId="27" xfId="44" applyFont="1" applyFill="1" applyBorder="1" applyAlignment="1" applyProtection="1">
      <alignment horizontal="center"/>
      <protection hidden="1"/>
    </xf>
    <xf numFmtId="0" fontId="25" fillId="36" borderId="26" xfId="44" applyFont="1" applyFill="1" applyBorder="1" applyAlignment="1" applyProtection="1">
      <alignment horizontal="left"/>
      <protection hidden="1"/>
    </xf>
    <xf numFmtId="0" fontId="0" fillId="36" borderId="27" xfId="0" applyFill="1" applyBorder="1" applyAlignment="1" applyProtection="1">
      <alignment horizontal="left"/>
      <protection hidden="1"/>
    </xf>
    <xf numFmtId="0" fontId="16" fillId="36" borderId="0" xfId="0" applyFont="1" applyFill="1" applyAlignment="1" applyProtection="1">
      <alignment horizontal="left"/>
      <protection hidden="1"/>
    </xf>
    <xf numFmtId="0" fontId="27" fillId="36" borderId="26" xfId="44" applyFont="1" applyFill="1" applyBorder="1" applyAlignment="1" applyProtection="1">
      <alignment horizontal="center" vertical="center"/>
      <protection hidden="1"/>
    </xf>
    <xf numFmtId="0" fontId="27" fillId="36" borderId="0" xfId="44" applyFont="1" applyFill="1" applyAlignment="1" applyProtection="1">
      <alignment horizontal="center" vertical="center"/>
      <protection hidden="1"/>
    </xf>
    <xf numFmtId="0" fontId="27" fillId="36" borderId="27" xfId="44" applyFont="1" applyFill="1" applyBorder="1" applyAlignment="1" applyProtection="1">
      <alignment horizontal="center" vertical="center"/>
      <protection hidden="1"/>
    </xf>
    <xf numFmtId="164" fontId="25" fillId="36" borderId="0" xfId="44" applyNumberFormat="1" applyFont="1" applyFill="1" applyAlignment="1" applyProtection="1">
      <alignment horizontal="right"/>
      <protection hidden="1"/>
    </xf>
    <xf numFmtId="164" fontId="0" fillId="36" borderId="0" xfId="0" applyNumberFormat="1" applyFill="1" applyAlignment="1" applyProtection="1">
      <alignment horizontal="right"/>
      <protection hidden="1"/>
    </xf>
    <xf numFmtId="0" fontId="48" fillId="39" borderId="23" xfId="45" applyFont="1" applyFill="1" applyBorder="1" applyAlignment="1" applyProtection="1">
      <alignment horizontal="center"/>
      <protection hidden="1"/>
    </xf>
    <xf numFmtId="0" fontId="48" fillId="39" borderId="24" xfId="45" applyFont="1" applyFill="1" applyBorder="1" applyAlignment="1" applyProtection="1">
      <alignment horizontal="center"/>
      <protection hidden="1"/>
    </xf>
    <xf numFmtId="0" fontId="48" fillId="39" borderId="25" xfId="45" applyFont="1" applyFill="1" applyBorder="1" applyAlignment="1" applyProtection="1">
      <alignment horizontal="center"/>
      <protection hidden="1"/>
    </xf>
    <xf numFmtId="0" fontId="46" fillId="39" borderId="26" xfId="44" applyFont="1" applyFill="1" applyBorder="1" applyAlignment="1" applyProtection="1">
      <alignment horizontal="center"/>
      <protection hidden="1"/>
    </xf>
    <xf numFmtId="0" fontId="46" fillId="39" borderId="0" xfId="44" applyFont="1" applyFill="1" applyAlignment="1" applyProtection="1">
      <alignment horizontal="center"/>
      <protection hidden="1"/>
    </xf>
    <xf numFmtId="0" fontId="46" fillId="39" borderId="27" xfId="44" applyFont="1" applyFill="1" applyBorder="1" applyAlignment="1" applyProtection="1">
      <alignment horizontal="center"/>
      <protection hidden="1"/>
    </xf>
    <xf numFmtId="0" fontId="26" fillId="36" borderId="26" xfId="44" applyFont="1" applyFill="1" applyBorder="1" applyAlignment="1" applyProtection="1">
      <alignment horizontal="left" vertical="center"/>
      <protection hidden="1"/>
    </xf>
    <xf numFmtId="0" fontId="26" fillId="36" borderId="0" xfId="44" applyFont="1" applyFill="1" applyAlignment="1" applyProtection="1">
      <alignment horizontal="left" vertical="center"/>
      <protection hidden="1"/>
    </xf>
    <xf numFmtId="0" fontId="26" fillId="36" borderId="27" xfId="44" applyFont="1" applyFill="1" applyBorder="1" applyAlignment="1" applyProtection="1">
      <alignment horizontal="left" vertical="center"/>
      <protection hidden="1"/>
    </xf>
    <xf numFmtId="0" fontId="28" fillId="36" borderId="26" xfId="44" applyFont="1" applyFill="1" applyBorder="1" applyAlignment="1" applyProtection="1">
      <alignment horizontal="center" vertical="center"/>
      <protection hidden="1"/>
    </xf>
    <xf numFmtId="0" fontId="28" fillId="36" borderId="0" xfId="44" applyFont="1" applyFill="1" applyAlignment="1" applyProtection="1">
      <alignment horizontal="center" vertical="center"/>
      <protection hidden="1"/>
    </xf>
    <xf numFmtId="0" fontId="26" fillId="36" borderId="0" xfId="44" applyFont="1" applyFill="1" applyAlignment="1" applyProtection="1">
      <alignment horizontal="center" vertical="center" wrapText="1"/>
      <protection hidden="1"/>
    </xf>
    <xf numFmtId="164" fontId="26" fillId="36" borderId="27" xfId="44" applyNumberFormat="1" applyFont="1" applyFill="1" applyBorder="1" applyAlignment="1" applyProtection="1">
      <alignment horizontal="center" vertical="center" wrapText="1"/>
      <protection hidden="1"/>
    </xf>
    <xf numFmtId="0" fontId="45" fillId="39" borderId="26" xfId="44" applyFont="1" applyFill="1" applyBorder="1" applyAlignment="1" applyProtection="1">
      <alignment horizontal="center"/>
      <protection hidden="1"/>
    </xf>
    <xf numFmtId="0" fontId="45" fillId="39" borderId="0" xfId="44" applyFont="1" applyFill="1" applyAlignment="1" applyProtection="1">
      <alignment horizontal="center"/>
      <protection hidden="1"/>
    </xf>
    <xf numFmtId="0" fontId="45" fillId="39" borderId="0" xfId="44" applyFont="1" applyFill="1" applyAlignment="1" applyProtection="1">
      <alignment horizontal="left"/>
      <protection hidden="1"/>
    </xf>
    <xf numFmtId="0" fontId="47" fillId="39" borderId="26" xfId="44" applyFont="1" applyFill="1" applyBorder="1" applyAlignment="1" applyProtection="1">
      <alignment horizontal="center" vertical="center"/>
      <protection hidden="1"/>
    </xf>
    <xf numFmtId="0" fontId="47" fillId="39" borderId="0" xfId="44" applyFont="1" applyFill="1" applyAlignment="1" applyProtection="1">
      <alignment horizontal="center" vertical="center"/>
      <protection hidden="1"/>
    </xf>
    <xf numFmtId="0" fontId="47" fillId="39" borderId="27" xfId="44" applyFont="1" applyFill="1" applyBorder="1" applyAlignment="1" applyProtection="1">
      <alignment horizontal="center" vertical="center"/>
      <protection hidden="1"/>
    </xf>
    <xf numFmtId="0" fontId="16" fillId="0" borderId="0" xfId="0" applyFont="1" applyAlignment="1">
      <alignment horizontal="center"/>
    </xf>
    <xf numFmtId="0" fontId="32" fillId="0" borderId="0" xfId="0" applyFont="1" applyAlignment="1">
      <alignment horizontal="left"/>
    </xf>
    <xf numFmtId="0" fontId="0" fillId="0" borderId="0" xfId="0" applyAlignment="1">
      <alignment horizontal="left"/>
    </xf>
    <xf numFmtId="0" fontId="23" fillId="0" borderId="0" xfId="44" applyFont="1" applyAlignment="1" applyProtection="1">
      <alignment horizontal="left"/>
      <protection hidden="1"/>
    </xf>
    <xf numFmtId="0" fontId="33" fillId="0" borderId="0" xfId="0" applyFont="1" applyAlignment="1">
      <alignment horizontal="left"/>
    </xf>
    <xf numFmtId="0" fontId="25" fillId="0" borderId="0" xfId="44" applyFont="1" applyAlignment="1" applyProtection="1">
      <alignment horizontal="left"/>
      <protection hidden="1"/>
    </xf>
    <xf numFmtId="0" fontId="25" fillId="0" borderId="0" xfId="44" applyFont="1" applyAlignment="1" applyProtection="1">
      <alignment horizontal="left" vertical="center"/>
      <protection hidden="1"/>
    </xf>
    <xf numFmtId="0" fontId="19" fillId="0" borderId="0" xfId="44" applyAlignment="1" applyProtection="1">
      <alignment horizontal="left" vertical="center"/>
      <protection hidden="1"/>
    </xf>
    <xf numFmtId="0" fontId="26" fillId="0" borderId="0" xfId="44" applyFont="1" applyAlignment="1" applyProtection="1">
      <alignment horizontal="left" vertical="center"/>
      <protection hidden="1"/>
    </xf>
    <xf numFmtId="0" fontId="21" fillId="0" borderId="0" xfId="45" applyAlignment="1" applyProtection="1">
      <alignment horizontal="center"/>
      <protection hidden="1"/>
    </xf>
    <xf numFmtId="0" fontId="30" fillId="0" borderId="0" xfId="45" applyFont="1" applyAlignment="1" applyProtection="1">
      <alignment horizontal="center" vertical="center"/>
      <protection hidden="1"/>
    </xf>
    <xf numFmtId="0" fontId="29" fillId="0" borderId="0" xfId="46" applyFont="1" applyAlignment="1" applyProtection="1">
      <alignment horizontal="center" vertical="center"/>
      <protection hidden="1"/>
    </xf>
    <xf numFmtId="0" fontId="24" fillId="0" borderId="0" xfId="44" applyFont="1" applyAlignment="1" applyProtection="1">
      <alignment horizontal="center" vertical="center"/>
      <protection hidden="1"/>
    </xf>
    <xf numFmtId="0" fontId="23" fillId="0" borderId="0" xfId="44" applyFont="1" applyAlignment="1" applyProtection="1">
      <alignment horizontal="center"/>
      <protection hidden="1"/>
    </xf>
    <xf numFmtId="0" fontId="23" fillId="0" borderId="0" xfId="44" applyFont="1" applyAlignment="1" applyProtection="1">
      <alignment horizontal="right"/>
      <protection hidden="1"/>
    </xf>
    <xf numFmtId="0" fontId="24" fillId="0" borderId="0" xfId="44" applyFont="1" applyAlignment="1" applyProtection="1">
      <alignment horizontal="center"/>
      <protection hidden="1"/>
    </xf>
    <xf numFmtId="0" fontId="0" fillId="0" borderId="0" xfId="0"/>
  </cellXfs>
  <cellStyles count="5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omma 2" xfId="48" xr:uid="{CBEACB57-703D-4958-8D40-E5E34941D8F1}"/>
    <cellStyle name="Currency" xfId="50"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 xfId="52" xr:uid="{34AC2109-4E6B-4105-975E-82B92ACE84F4}"/>
    <cellStyle name="Normal 10 2" xfId="46" xr:uid="{6FAA1B04-A2FE-42FF-A351-F7967B1BD53E}"/>
    <cellStyle name="Normal 124 3" xfId="45" xr:uid="{99C10511-9DDC-497D-8871-A4F3D3BF8C20}"/>
    <cellStyle name="Normal 2" xfId="44" xr:uid="{C586726A-B55E-43DA-BF77-87629BBA8D79}"/>
    <cellStyle name="Normal 2 10" xfId="51" xr:uid="{585C15CD-34FD-4078-BB16-DED123025851}"/>
    <cellStyle name="Normal 2 2" xfId="53" xr:uid="{5F0443C9-7BD9-43AC-BCCB-71064BED7F4A}"/>
    <cellStyle name="Normal 2 3" xfId="55" xr:uid="{EFAA6567-3172-40C3-8A11-619DE01E9063}"/>
    <cellStyle name="Normal 3" xfId="49" xr:uid="{7893F45F-D3B0-4150-8901-551991D8BB73}"/>
    <cellStyle name="Normal 4" xfId="54" xr:uid="{7AEE1C08-9D4D-43AB-81BA-79E359DBCCB4}"/>
    <cellStyle name="Note" xfId="15" builtinId="10" customBuiltin="1"/>
    <cellStyle name="Output" xfId="10" builtinId="21" customBuiltin="1"/>
    <cellStyle name="Percent" xfId="43" builtinId="5"/>
    <cellStyle name="Percent 2" xfId="47" xr:uid="{20630986-7B55-4A25-B59A-E21D9A35337A}"/>
    <cellStyle name="Title" xfId="1" builtinId="15" customBuiltin="1"/>
    <cellStyle name="Total" xfId="17" builtinId="25" customBuiltin="1"/>
    <cellStyle name="Warning Text" xfId="14" builtinId="11" customBuiltin="1"/>
  </cellStyles>
  <dxfs count="3">
    <dxf>
      <numFmt numFmtId="1" formatCode="0"/>
    </dxf>
    <dxf>
      <numFmt numFmtId="4" formatCode="#,##0.00"/>
    </dxf>
    <dxf>
      <numFmt numFmtId="164" formatCode="&quot;$&quot;#,##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2.xml"/><Relationship Id="rId8" Type="http://schemas.openxmlformats.org/officeDocument/2006/relationships/worksheet" Target="worksheets/sheet8.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personal/10091728_id_ohio_gov/Documents/Simulation/JVSD/FY22%20JVSD%20Simulation/JVSD%20new%20simulation/FY22_jvs_fte_sim_fd_11_24_21.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personal/10091728_id_ohio_gov/Documents/Data%20request/jvsd_neg_post_adj_march.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rkar, Prabir" refreshedDate="44524.552422916669" createdVersion="7" refreshedVersion="7" minRefreshableVersion="3" recordCount="255" xr:uid="{24215F3F-E486-446F-8DF7-D7021FABD487}">
  <cacheSource type="worksheet">
    <worksheetSource ref="A2:R257" sheet="fy22_fte" r:id="rId2"/>
  </cacheSource>
  <cacheFields count="18">
    <cacheField name="fy" numFmtId="1">
      <sharedItems containsSemiMixedTypes="0" containsString="0" containsNumber="1" containsInteger="1" minValue="2022" maxValue="2022"/>
    </cacheField>
    <cacheField name="rpting_lea_irn" numFmtId="49">
      <sharedItems count="48">
        <s v="050773"/>
        <s v="050799"/>
        <s v="050815"/>
        <s v="050856"/>
        <s v="050880"/>
        <s v="050906"/>
        <s v="050922"/>
        <s v="050948"/>
        <s v="050963"/>
        <s v="050989"/>
        <s v="051003"/>
        <s v="051029"/>
        <s v="051045"/>
        <s v="051060"/>
        <s v="051128"/>
        <s v="051144"/>
        <s v="051169"/>
        <s v="051185"/>
        <s v="051201"/>
        <s v="051227"/>
        <s v="051243"/>
        <s v="051284"/>
        <s v="051300"/>
        <s v="051334"/>
        <s v="051359"/>
        <s v="051375"/>
        <s v="051391"/>
        <s v="051417"/>
        <s v="051433"/>
        <s v="051458"/>
        <s v="051474"/>
        <s v="051490"/>
        <s v="051532"/>
        <s v="051607"/>
        <s v="051631"/>
        <s v="051656"/>
        <s v="051672"/>
        <s v="051698"/>
        <s v="051714"/>
        <s v="062026"/>
        <s v="062042"/>
        <s v="062067"/>
        <s v="062125"/>
        <s v="062802"/>
        <s v="063495"/>
        <s v="063511"/>
        <s v="065227"/>
        <s v="065268"/>
      </sharedItems>
    </cacheField>
    <cacheField name="total_adjstd_fte" numFmtId="167">
      <sharedItems containsSemiMixedTypes="0" containsString="0" containsNumber="1" minValue="0" maxValue="1510.473747"/>
    </cacheField>
    <cacheField name="econ_disadv_fte" numFmtId="167">
      <sharedItems containsSemiMixedTypes="0" containsString="0" containsNumber="1" minValue="0" maxValue="419.54872599999999"/>
    </cacheField>
    <cacheField name="el_cat_1_fte" numFmtId="167">
      <sharedItems containsSemiMixedTypes="0" containsString="0" containsNumber="1" minValue="0" maxValue="1.64367"/>
    </cacheField>
    <cacheField name="el_cat_2_fte" numFmtId="167">
      <sharedItems containsSemiMixedTypes="0" containsString="0" containsNumber="1" minValue="0" maxValue="30.52844"/>
    </cacheField>
    <cacheField name="el_cat_3_fte" numFmtId="167">
      <sharedItems containsSemiMixedTypes="0" containsString="0" containsNumber="1" minValue="0" maxValue="4.7070169999999996"/>
    </cacheField>
    <cacheField name="speced_cat_1_fte" numFmtId="167">
      <sharedItems containsSemiMixedTypes="0" containsString="0" containsNumber="1" minValue="0" maxValue="2.0571429999999999"/>
    </cacheField>
    <cacheField name="speced_cat_2_fte" numFmtId="167">
      <sharedItems containsSemiMixedTypes="0" containsString="0" containsNumber="1" minValue="0" maxValue="250.48111900000001"/>
    </cacheField>
    <cacheField name="speced_cat_3_fte" numFmtId="167">
      <sharedItems containsSemiMixedTypes="0" containsString="0" containsNumber="1" minValue="-0.12071399999999999" maxValue="16.771260999999999"/>
    </cacheField>
    <cacheField name="speced_cat_4_fte" numFmtId="167">
      <sharedItems containsSemiMixedTypes="0" containsString="0" containsNumber="1" minValue="-3.2239999999999999E-3" maxValue="3.269663"/>
    </cacheField>
    <cacheField name="speced_cat_5_fte" numFmtId="167">
      <sharedItems containsSemiMixedTypes="0" containsString="0" containsNumber="1" minValue="0" maxValue="13.144281999999999"/>
    </cacheField>
    <cacheField name="speced_cat_6_fte" numFmtId="167">
      <sharedItems containsSemiMixedTypes="0" containsString="0" containsNumber="1" minValue="0" maxValue="52.240956999999995"/>
    </cacheField>
    <cacheField name="cte_fund_cat_1_fte" numFmtId="167">
      <sharedItems containsSemiMixedTypes="0" containsString="0" containsNumber="1" minValue="0" maxValue="418.19940400000002"/>
    </cacheField>
    <cacheField name="cte_fund_cat_2_fte" numFmtId="167">
      <sharedItems containsSemiMixedTypes="0" containsString="0" containsNumber="1" minValue="0" maxValue="329.64034500000002"/>
    </cacheField>
    <cacheField name="cte_fund_cat_3_fte" numFmtId="167">
      <sharedItems containsSemiMixedTypes="0" containsString="0" containsNumber="1" minValue="0" maxValue="89.630664999999993"/>
    </cacheField>
    <cacheField name="cte_fund_cat_4_fte" numFmtId="167">
      <sharedItems containsSemiMixedTypes="0" containsString="0" containsNumber="1" minValue="0" maxValue="722.22296800000004"/>
    </cacheField>
    <cacheField name="cte_fund_cat_5_fte" numFmtId="167">
      <sharedItems containsSemiMixedTypes="0" containsString="0" containsNumber="1" minValue="0" maxValue="63.14086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rkar, Prabir" refreshedDate="44627.359711111108" createdVersion="7" refreshedVersion="7" minRefreshableVersion="3" recordCount="588" xr:uid="{DBEF9118-B0CB-42AD-ADBB-7B3C3043FB43}">
  <cacheSource type="worksheet">
    <worksheetSource ref="A1:P589" sheet="JVSD (2)" r:id="rId2"/>
  </cacheSource>
  <cacheFields count="16">
    <cacheField name="IRN" numFmtId="0">
      <sharedItems containsSemiMixedTypes="0" containsString="0" containsNumber="1" containsInteger="1" minValue="50773" maxValue="65268" count="49">
        <n v="50773"/>
        <n v="50799"/>
        <n v="50815"/>
        <n v="50856"/>
        <n v="50880"/>
        <n v="50906"/>
        <n v="50922"/>
        <n v="50948"/>
        <n v="50963"/>
        <n v="50989"/>
        <n v="51003"/>
        <n v="51029"/>
        <n v="51045"/>
        <n v="51060"/>
        <n v="51128"/>
        <n v="51144"/>
        <n v="51169"/>
        <n v="51185"/>
        <n v="51201"/>
        <n v="51227"/>
        <n v="51243"/>
        <n v="51284"/>
        <n v="51300"/>
        <n v="51334"/>
        <n v="51359"/>
        <n v="51375"/>
        <n v="51391"/>
        <n v="51417"/>
        <n v="51433"/>
        <n v="51458"/>
        <n v="51474"/>
        <n v="51490"/>
        <n v="51532"/>
        <n v="51607"/>
        <n v="51631"/>
        <n v="51656"/>
        <n v="51672"/>
        <n v="51698"/>
        <n v="51714"/>
        <n v="62026"/>
        <n v="62042"/>
        <n v="62067"/>
        <n v="62109"/>
        <n v="62125"/>
        <n v="62802"/>
        <n v="63495"/>
        <n v="63511"/>
        <n v="65227"/>
        <n v="65268"/>
      </sharedItems>
    </cacheField>
    <cacheField name="base_60" numFmtId="164">
      <sharedItems containsSemiMixedTypes="0" containsString="0" containsNumber="1" minValue="0" maxValue="17574284.460000001"/>
    </cacheField>
    <cacheField name="sws_66" numFmtId="164">
      <sharedItems containsSemiMixedTypes="0" containsString="0" containsNumber="1" minValue="0" maxValue="763525.87"/>
    </cacheField>
    <cacheField name="spe_47" numFmtId="164">
      <sharedItems containsMixedTypes="1" containsNumber="1" minValue="0" maxValue="2716201.87" count="51">
        <n v="0"/>
        <n v="725490.37"/>
        <n v="407916"/>
        <n v="865092.26"/>
        <n v="539151.94999999995"/>
        <n v="2716201.87"/>
        <n v="269569.28000000003"/>
        <n v="60917.62"/>
        <n v="316879"/>
        <n v="1221395.06"/>
        <n v="147554.26"/>
        <n v="543053.16"/>
        <n v="724372.23"/>
        <n v="1139800.95"/>
        <n v="2318377.48"/>
        <n v="376243.11"/>
        <n v="612263.35"/>
        <n v="37746.69"/>
        <n v="773771.45"/>
        <n v="428698.44"/>
        <n v="950900.65"/>
        <n v="696209.58"/>
        <n v="1338096.1200000001"/>
        <n v="1076005.99"/>
        <n v="740297.87"/>
        <n v="2393010.58"/>
        <n v="761761.24"/>
        <n v="734160.96"/>
        <n v="1322909.22"/>
        <n v="1306056.27"/>
        <n v="507458.54"/>
        <n v="924211.95"/>
        <n v="702491.19"/>
        <n v="683969.06"/>
        <n v="515478.67"/>
        <n v="1516651.08"/>
        <n v="1231703.67"/>
        <n v="502604.26"/>
        <n v="409430.8"/>
        <n v="938115.71"/>
        <n v="664261.14"/>
        <n v="326929.93"/>
        <n v="1178259.19"/>
        <n v="687941.7"/>
        <n v="1418587.63"/>
        <n v="317060.07"/>
        <n v="177417.31"/>
        <n v="220545.89"/>
        <n v="264334.90000000002"/>
        <s v="irn"/>
        <n v="419777.56"/>
      </sharedItems>
    </cacheField>
    <cacheField name="dpia_61" numFmtId="164">
      <sharedItems containsSemiMixedTypes="0" containsString="0" containsNumber="1" minValue="0" maxValue="851748.02"/>
    </cacheField>
    <cacheField name="el_62" numFmtId="164">
      <sharedItems containsSemiMixedTypes="0" containsString="0" containsNumber="1" minValue="0" maxValue="51899.18"/>
    </cacheField>
    <cacheField name="cte_48" numFmtId="164">
      <sharedItems containsSemiMixedTypes="0" containsString="0" containsNumber="1" minValue="0" maxValue="10891597.939999999"/>
    </cacheField>
    <cacheField name="tragur_63" numFmtId="164">
      <sharedItems containsSemiMixedTypes="0" containsString="0" containsNumber="1" minValue="0" maxValue="76619.33"/>
    </cacheField>
    <cacheField name="tra_sup_64" numFmtId="164">
      <sharedItems containsSemiMixedTypes="0" containsString="0" containsNumber="1" minValue="0" maxValue="247653.62"/>
    </cacheField>
    <cacheField name="tot_sta" numFmtId="164">
      <sharedItems containsSemiMixedTypes="0" containsString="0" containsNumber="1" minValue="0" maxValue="17574284.460000001"/>
    </cacheField>
    <cacheField name="esc_6" numFmtId="164">
      <sharedItems containsSemiMixedTypes="0" containsString="0" containsNumber="1" minValue="-174343.49" maxValue="0"/>
    </cacheField>
    <cacheField name="assoc_58" numFmtId="164">
      <sharedItems containsSemiMixedTypes="0" containsString="0" containsNumber="1" minValue="0" maxValue="151579.85"/>
    </cacheField>
    <cacheField name="caraw_65" numFmtId="164">
      <sharedItems containsSemiMixedTypes="0" containsString="0" containsNumber="1" minValue="0" maxValue="255600.88"/>
    </cacheField>
    <cacheField name="oth_pos_12" numFmtId="164">
      <sharedItems containsSemiMixedTypes="0" containsString="0" containsNumber="1" minValue="0" maxValue="1507285.15"/>
    </cacheField>
    <cacheField name="oth_neg_12" numFmtId="164">
      <sharedItems containsSemiMixedTypes="0" containsString="0" containsNumber="1" minValue="-271620.19" maxValue="0"/>
    </cacheField>
    <cacheField name="transfer" numFmtId="164">
      <sharedItems containsSemiMixedTypes="0" containsString="0" containsNumber="1" minValue="-271620.19" maxValue="1507285.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5">
  <r>
    <n v="2022"/>
    <x v="0"/>
    <n v="370.68813899999998"/>
    <n v="81.497804000000002"/>
    <n v="0"/>
    <n v="0"/>
    <n v="0"/>
    <n v="0"/>
    <n v="60.471091999999999"/>
    <n v="1.20739"/>
    <n v="0.14000000000000001"/>
    <n v="4"/>
    <n v="2"/>
    <n v="132.61019199999998"/>
    <n v="46.151367999999998"/>
    <n v="9.653257"/>
    <n v="111.744435"/>
    <n v="0.925925"/>
  </r>
  <r>
    <n v="2022"/>
    <x v="0"/>
    <n v="455.94701199999997"/>
    <n v="115.037766"/>
    <n v="1"/>
    <n v="0"/>
    <n v="0"/>
    <n v="0"/>
    <n v="76.127397000000002"/>
    <n v="6"/>
    <n v="1"/>
    <n v="0.153699"/>
    <n v="5.2709289999999998"/>
    <n v="164.298641"/>
    <n v="60.490579999999994"/>
    <n v="1.2905179999999998"/>
    <n v="186.48303899999999"/>
    <n v="1.594657"/>
  </r>
  <r>
    <n v="2022"/>
    <x v="0"/>
    <n v="53.262465999999996"/>
    <n v="6.9591689999999993"/>
    <n v="0"/>
    <n v="0"/>
    <n v="0"/>
    <n v="0"/>
    <n v="9.3188180000000003"/>
    <n v="0.14000000000000001"/>
    <n v="0"/>
    <n v="0"/>
    <n v="1.1400000000000001"/>
    <n v="15.386415999999999"/>
    <n v="1.050003"/>
    <n v="8.7952359999999992"/>
    <n v="9.1356549999999999"/>
    <n v="4.8970880000000001"/>
  </r>
  <r>
    <n v="2022"/>
    <x v="0"/>
    <n v="27.469574999999999"/>
    <n v="0"/>
    <n v="0"/>
    <n v="0"/>
    <n v="0"/>
    <n v="0"/>
    <n v="2.52"/>
    <n v="2.3039E-2"/>
    <n v="0"/>
    <n v="0"/>
    <n v="0"/>
    <n v="8.4336570000000002"/>
    <n v="0.50000100000000003"/>
    <n v="0"/>
    <n v="0"/>
    <n v="4.1220919999999994"/>
  </r>
  <r>
    <n v="2022"/>
    <x v="0"/>
    <n v="18.853354"/>
    <n v="0"/>
    <n v="0"/>
    <n v="0"/>
    <n v="0"/>
    <n v="0"/>
    <n v="0.71926299999999999"/>
    <n v="0"/>
    <n v="0"/>
    <n v="0"/>
    <n v="0"/>
    <n v="4.3798779999999997"/>
    <n v="0"/>
    <n v="0"/>
    <n v="1.080468"/>
    <n v="1.9689939999999999"/>
  </r>
  <r>
    <n v="2022"/>
    <x v="0"/>
    <n v="4.62"/>
    <n v="0"/>
    <n v="0"/>
    <n v="0"/>
    <n v="0"/>
    <n v="0"/>
    <n v="0.42"/>
    <n v="0"/>
    <n v="0"/>
    <n v="0"/>
    <n v="0"/>
    <n v="0"/>
    <n v="0.408331"/>
    <n v="0"/>
    <n v="0"/>
    <n v="1.5166579999999998"/>
  </r>
  <r>
    <n v="2022"/>
    <x v="1"/>
    <n v="222.40491800000001"/>
    <n v="51.585586999999997"/>
    <n v="0"/>
    <n v="0"/>
    <n v="0"/>
    <n v="1"/>
    <n v="37.184694"/>
    <n v="0"/>
    <n v="0"/>
    <n v="1"/>
    <n v="0.14000000000000001"/>
    <n v="60.535394999999994"/>
    <n v="36.414204999999995"/>
    <n v="0"/>
    <n v="109.620299"/>
    <n v="0"/>
  </r>
  <r>
    <n v="2022"/>
    <x v="1"/>
    <n v="10.610519999999999"/>
    <n v="0"/>
    <n v="0"/>
    <n v="0"/>
    <n v="0"/>
    <n v="0.14000000000000001"/>
    <n v="0.56000000000000005"/>
    <n v="0"/>
    <n v="0"/>
    <n v="0.14000000000000001"/>
    <n v="0.14000000000000001"/>
    <n v="4.9958679999999998"/>
    <n v="4.4137050000000002"/>
    <n v="0"/>
    <n v="0"/>
    <n v="0"/>
  </r>
  <r>
    <n v="2022"/>
    <x v="1"/>
    <n v="21.158255999999998"/>
    <n v="1.418361"/>
    <n v="0"/>
    <n v="0"/>
    <n v="0"/>
    <n v="0.56000000000000005"/>
    <n v="0.97342099999999998"/>
    <n v="0.14000000000000001"/>
    <n v="0"/>
    <n v="0"/>
    <n v="0"/>
    <n v="5.6495790000000001"/>
    <n v="5.1139299999999999"/>
    <n v="0"/>
    <n v="0"/>
    <n v="0"/>
  </r>
  <r>
    <n v="2022"/>
    <x v="1"/>
    <n v="54.467952999999994"/>
    <n v="8.2718410000000002"/>
    <n v="0"/>
    <n v="0"/>
    <n v="0"/>
    <n v="0.361925"/>
    <n v="5.9710209999999995"/>
    <n v="0.42"/>
    <n v="0"/>
    <n v="0"/>
    <n v="4.6251999999999995E-2"/>
    <n v="33.988467"/>
    <n v="0.14000000000000001"/>
    <n v="0"/>
    <n v="1.7926739999999999"/>
    <n v="0"/>
  </r>
  <r>
    <n v="2022"/>
    <x v="1"/>
    <n v="54.622020999999997"/>
    <n v="8.4150739999999988"/>
    <n v="0"/>
    <n v="0"/>
    <n v="0"/>
    <n v="0"/>
    <n v="7.3788179999999999"/>
    <n v="0"/>
    <n v="0"/>
    <n v="0.70000000000000007"/>
    <n v="0.14000000000000001"/>
    <n v="38.539620999999997"/>
    <n v="0"/>
    <n v="0"/>
    <n v="0.81157000000000001"/>
    <n v="0"/>
  </r>
  <r>
    <n v="2022"/>
    <x v="1"/>
    <n v="229.45780600000001"/>
    <n v="80.330393000000001"/>
    <n v="0"/>
    <n v="0"/>
    <n v="0"/>
    <n v="0"/>
    <n v="34.517218"/>
    <n v="1"/>
    <n v="0"/>
    <n v="2.7666659999999998"/>
    <n v="4.7666659999999998"/>
    <n v="52.328333999999998"/>
    <n v="41.092894000000001"/>
    <n v="0"/>
    <n v="77.258810999999994"/>
    <n v="0"/>
  </r>
  <r>
    <n v="2022"/>
    <x v="2"/>
    <n v="10.873678999999999"/>
    <n v="0"/>
    <n v="0"/>
    <n v="0"/>
    <n v="0"/>
    <n v="0.03"/>
    <n v="0.97"/>
    <n v="0.190888"/>
    <n v="0"/>
    <n v="0.10709299999999999"/>
    <n v="0.102907"/>
    <n v="0"/>
    <n v="0"/>
    <n v="0"/>
    <n v="0"/>
    <n v="0"/>
  </r>
  <r>
    <n v="2022"/>
    <x v="2"/>
    <n v="4.8964619999999996"/>
    <n v="0"/>
    <n v="0"/>
    <n v="0"/>
    <n v="0"/>
    <n v="0"/>
    <n v="5.5115999999999998E-2"/>
    <n v="9.4185999999999992E-2"/>
    <n v="0"/>
    <n v="0"/>
    <n v="0"/>
    <n v="2.999485"/>
    <n v="1.1533959999999999"/>
    <n v="0"/>
    <n v="0"/>
    <n v="0"/>
  </r>
  <r>
    <n v="2022"/>
    <x v="2"/>
    <n v="12.729923999999999"/>
    <n v="0"/>
    <n v="0"/>
    <n v="0"/>
    <n v="0"/>
    <n v="0"/>
    <n v="0.11896"/>
    <n v="0"/>
    <n v="0"/>
    <n v="0"/>
    <n v="0"/>
    <n v="4.0664929999999995"/>
    <n v="1.308513"/>
    <n v="0"/>
    <n v="0"/>
    <n v="0"/>
  </r>
  <r>
    <n v="2022"/>
    <x v="2"/>
    <n v="23.544689999999999"/>
    <n v="0"/>
    <n v="0"/>
    <n v="0"/>
    <n v="0"/>
    <n v="0"/>
    <n v="2.8120559999999997"/>
    <n v="0.28000000000000003"/>
    <n v="0"/>
    <n v="0.14000000000000001"/>
    <n v="0"/>
    <n v="9.9036049999999989"/>
    <n v="0"/>
    <n v="0"/>
    <n v="0"/>
    <n v="0"/>
  </r>
  <r>
    <n v="2022"/>
    <x v="2"/>
    <n v="87.062367999999992"/>
    <n v="24.13"/>
    <n v="0"/>
    <n v="0"/>
    <n v="0"/>
    <n v="0"/>
    <n v="23.58586"/>
    <n v="5"/>
    <n v="0"/>
    <n v="0"/>
    <n v="1.1678569999999999"/>
    <n v="36.928647999999995"/>
    <n v="0"/>
    <n v="0"/>
    <n v="30.139433999999998"/>
    <n v="0"/>
  </r>
  <r>
    <n v="2022"/>
    <x v="2"/>
    <n v="284.95312000000001"/>
    <n v="105.66798299999999"/>
    <n v="0"/>
    <n v="0"/>
    <n v="0"/>
    <n v="0"/>
    <n v="58.051783"/>
    <n v="7.7696629999999995"/>
    <n v="0.21348299999999998"/>
    <n v="1"/>
    <n v="5"/>
    <n v="90.215052"/>
    <n v="35.984407999999995"/>
    <n v="0"/>
    <n v="95.198448999999997"/>
    <n v="0"/>
  </r>
  <r>
    <n v="2022"/>
    <x v="2"/>
    <n v="254.723545"/>
    <n v="103.775916"/>
    <n v="0"/>
    <n v="0"/>
    <n v="0"/>
    <n v="0"/>
    <n v="47.519887999999995"/>
    <n v="5.1046399999999998"/>
    <n v="1.1460669999999999"/>
    <n v="0"/>
    <n v="11.405987999999999"/>
    <n v="84.170176999999995"/>
    <n v="35.540898999999996"/>
    <n v="0"/>
    <n v="75.55965599999999"/>
    <n v="0"/>
  </r>
  <r>
    <n v="2022"/>
    <x v="3"/>
    <n v="122.20854"/>
    <n v="43.320443999999995"/>
    <n v="0"/>
    <n v="0"/>
    <n v="0"/>
    <n v="0"/>
    <n v="30.900756999999999"/>
    <n v="0.49157299999999998"/>
    <n v="0"/>
    <n v="1.1460669999999999"/>
    <n v="1.8900000000000001"/>
    <n v="52.336492999999997"/>
    <n v="20.805568999999998"/>
    <n v="0"/>
    <n v="35.621547999999997"/>
    <n v="0"/>
  </r>
  <r>
    <n v="2022"/>
    <x v="3"/>
    <n v="144.27682199999998"/>
    <n v="52.489609999999999"/>
    <n v="0"/>
    <n v="0.13"/>
    <n v="0"/>
    <n v="0"/>
    <n v="38.017393999999996"/>
    <n v="1.332352"/>
    <n v="0"/>
    <n v="0"/>
    <n v="2.1285029999999998"/>
    <n v="46.709382999999995"/>
    <n v="23.646421"/>
    <n v="0"/>
    <n v="60.865874999999996"/>
    <n v="0"/>
  </r>
  <r>
    <n v="2022"/>
    <x v="3"/>
    <n v="79.345869999999991"/>
    <n v="25.21837"/>
    <n v="0"/>
    <n v="0"/>
    <n v="0.13"/>
    <n v="0"/>
    <n v="26.811672999999999"/>
    <n v="2.022599"/>
    <n v="0"/>
    <n v="0"/>
    <n v="0"/>
    <n v="30.556215999999999"/>
    <n v="10.834173"/>
    <n v="0"/>
    <n v="30.737136"/>
    <n v="0"/>
  </r>
  <r>
    <n v="2022"/>
    <x v="3"/>
    <n v="67.080089999999998"/>
    <n v="26.394629999999999"/>
    <n v="0"/>
    <n v="0"/>
    <n v="0"/>
    <n v="0"/>
    <n v="14.219678999999999"/>
    <n v="0"/>
    <n v="0"/>
    <n v="1"/>
    <n v="0"/>
    <n v="25.857286999999999"/>
    <n v="10.401802999999999"/>
    <n v="0"/>
    <n v="23.216445999999998"/>
    <n v="0"/>
  </r>
  <r>
    <n v="2022"/>
    <x v="3"/>
    <n v="17.657937"/>
    <n v="5.367019"/>
    <n v="0"/>
    <n v="0"/>
    <n v="0"/>
    <n v="9.8920999999999995E-2"/>
    <n v="0.82262899999999994"/>
    <n v="0.21892099999999998"/>
    <n v="0"/>
    <n v="0"/>
    <n v="0.12850300000000001"/>
    <n v="5.6504560000000001"/>
    <n v="2.9601569999999997"/>
    <n v="0"/>
    <n v="0"/>
    <n v="0"/>
  </r>
  <r>
    <n v="2022"/>
    <x v="3"/>
    <n v="13.009231"/>
    <n v="4.0432579999999998"/>
    <n v="0"/>
    <n v="0"/>
    <n v="0"/>
    <n v="0"/>
    <n v="1.313685"/>
    <n v="0"/>
    <n v="0"/>
    <n v="0"/>
    <n v="6.2157999999999998E-2"/>
    <n v="4.1285889999999998"/>
    <n v="2.0785670000000001"/>
    <n v="0"/>
    <n v="0"/>
    <n v="0"/>
  </r>
  <r>
    <n v="2022"/>
    <x v="4"/>
    <n v="233.97892200000001"/>
    <n v="109.24814600000001"/>
    <n v="0.76114700000000002"/>
    <n v="3.691986"/>
    <n v="0.17"/>
    <n v="0.48"/>
    <n v="19.605058"/>
    <n v="1.099545"/>
    <n v="0.25870599999999999"/>
    <n v="9.7721999999999989E-2"/>
    <n v="1.381343"/>
    <n v="86.332319999999996"/>
    <n v="11.440491"/>
    <n v="10.87744"/>
    <n v="0"/>
    <n v="0"/>
  </r>
  <r>
    <n v="2022"/>
    <x v="4"/>
    <n v="247.97663399999999"/>
    <n v="93.504020999999995"/>
    <n v="0.540659"/>
    <n v="3.6632599999999997"/>
    <n v="1.221819"/>
    <n v="1.6253979999999999"/>
    <n v="13.252357"/>
    <n v="1.4443029999999999"/>
    <n v="0.10396"/>
    <n v="9.7721999999999989E-2"/>
    <n v="1.4868439999999998"/>
    <n v="100.697439"/>
    <n v="6.3224320000000001"/>
    <n v="0.46315699999999999"/>
    <n v="0"/>
    <n v="0"/>
  </r>
  <r>
    <n v="2022"/>
    <x v="4"/>
    <n v="55.281241999999999"/>
    <n v="26.101334999999999"/>
    <n v="0.10742599999999999"/>
    <n v="1.6069179999999998"/>
    <n v="0.66465399999999997"/>
    <n v="0.215918"/>
    <n v="3.4066049999999999"/>
    <n v="0.42"/>
    <n v="0"/>
    <n v="1.1089E-2"/>
    <n v="0.42"/>
    <n v="0"/>
    <n v="0"/>
    <n v="0"/>
    <n v="0"/>
    <n v="0"/>
  </r>
  <r>
    <n v="2022"/>
    <x v="4"/>
    <n v="1259.7990990000001"/>
    <n v="372.73697900000002"/>
    <n v="0.65917399999999993"/>
    <n v="20.210179"/>
    <n v="4.7070169999999996"/>
    <n v="0"/>
    <n v="162.34437399999999"/>
    <n v="15.954400000000001"/>
    <n v="0"/>
    <n v="13.144281999999999"/>
    <n v="52.240956999999995"/>
    <n v="305.42538300000001"/>
    <n v="329.64034500000002"/>
    <n v="79.724690999999993"/>
    <n v="199.732529"/>
    <n v="22.418143999999998"/>
  </r>
  <r>
    <n v="2022"/>
    <x v="4"/>
    <n v="1128.944256"/>
    <n v="303.64983599999999"/>
    <n v="0.69855899999999993"/>
    <n v="13.234859"/>
    <n v="3.0407690000000001"/>
    <n v="1.9074129999999998"/>
    <n v="105.51044400000001"/>
    <n v="4.0488200000000001"/>
    <n v="0"/>
    <n v="2.8719399999999999"/>
    <n v="7.7407199999999996"/>
    <n v="333.969695"/>
    <n v="227.18382099999999"/>
    <n v="43.709353"/>
    <n v="307.81184999999999"/>
    <n v="28.750003"/>
  </r>
  <r>
    <n v="2022"/>
    <x v="4"/>
    <n v="547.87795700000004"/>
    <n v="156.76567"/>
    <n v="1.64367"/>
    <n v="14.164335999999999"/>
    <n v="2.9976699999999998"/>
    <n v="1.25"/>
    <n v="49.026094999999998"/>
    <n v="2.4073319999999998"/>
    <n v="0.25"/>
    <n v="0.8"/>
    <n v="0.95089099999999993"/>
    <n v="165.85494299999999"/>
    <n v="113.290993"/>
    <n v="9.0773320000000002"/>
    <n v="70.251474999999999"/>
    <n v="63.140867"/>
  </r>
  <r>
    <n v="2022"/>
    <x v="4"/>
    <n v="455.07700299999999"/>
    <n v="160.00292300000001"/>
    <n v="0.57652999999999999"/>
    <n v="7.0559789999999998"/>
    <n v="1.3313969999999999"/>
    <n v="1.27393"/>
    <n v="37.366534999999999"/>
    <n v="2.9219369999999998"/>
    <n v="0"/>
    <n v="1.5498799999999999"/>
    <n v="2.529655"/>
    <n v="214.492671"/>
    <n v="86.095238999999992"/>
    <n v="2.211999"/>
    <n v="5.8093369999999993"/>
    <n v="37.991293999999996"/>
  </r>
  <r>
    <n v="2022"/>
    <x v="5"/>
    <n v="144.36592100000001"/>
    <n v="61.779329999999995"/>
    <n v="0"/>
    <n v="0"/>
    <n v="0"/>
    <n v="0"/>
    <n v="20.770948999999998"/>
    <n v="0.5"/>
    <n v="0"/>
    <n v="0"/>
    <n v="1.5"/>
    <n v="60.042400999999998"/>
    <n v="19.140059999999998"/>
    <n v="0"/>
    <n v="49.259212999999995"/>
    <n v="0"/>
  </r>
  <r>
    <n v="2022"/>
    <x v="5"/>
    <n v="159.791821"/>
    <n v="59.647965999999997"/>
    <n v="0"/>
    <n v="0"/>
    <n v="0"/>
    <n v="0"/>
    <n v="23.534917"/>
    <n v="0.5"/>
    <n v="0"/>
    <n v="0.61452499999999999"/>
    <n v="1.5"/>
    <n v="65.740538999999998"/>
    <n v="23.910454999999999"/>
    <n v="0"/>
    <n v="51.528334000000001"/>
    <n v="0"/>
  </r>
  <r>
    <n v="2022"/>
    <x v="6"/>
    <n v="144.02033499999999"/>
    <n v="27.407820999999998"/>
    <n v="0"/>
    <n v="0"/>
    <n v="0"/>
    <n v="0"/>
    <n v="29.410613999999999"/>
    <n v="2.1061449999999997"/>
    <n v="0"/>
    <n v="3.5828029999999997"/>
    <n v="6.5"/>
    <n v="75.934874999999991"/>
    <n v="55.970208"/>
    <n v="0"/>
    <n v="4.3484819999999997"/>
    <n v="0"/>
  </r>
  <r>
    <n v="2022"/>
    <x v="6"/>
    <n v="201.84187499999999"/>
    <n v="26.957056999999999"/>
    <n v="0"/>
    <n v="0"/>
    <n v="0"/>
    <n v="0"/>
    <n v="39.662011"/>
    <n v="2.9469279999999998"/>
    <n v="0.5"/>
    <n v="1.5"/>
    <n v="5.1117319999999999"/>
    <n v="89.149542999999994"/>
    <n v="80.811938999999995"/>
    <n v="0"/>
    <n v="23.485906"/>
    <n v="0"/>
  </r>
  <r>
    <n v="2022"/>
    <x v="6"/>
    <n v="6.5139659999999999"/>
    <n v="2.0474859999999997"/>
    <n v="0"/>
    <n v="0"/>
    <n v="0"/>
    <n v="0"/>
    <n v="0"/>
    <n v="0"/>
    <n v="0"/>
    <n v="0"/>
    <n v="0"/>
    <n v="2.2051999999999999E-2"/>
    <n v="0.99964199999999992"/>
    <n v="1.125"/>
    <n v="0.13966499999999998"/>
    <n v="0"/>
  </r>
  <r>
    <n v="2022"/>
    <x v="6"/>
    <n v="8.8302560000000003"/>
    <n v="2.4748600000000001"/>
    <n v="0"/>
    <n v="0"/>
    <n v="0"/>
    <n v="0"/>
    <n v="0"/>
    <n v="0"/>
    <n v="0"/>
    <n v="0"/>
    <n v="0"/>
    <n v="0"/>
    <n v="0.34636800000000001"/>
    <n v="0.61871500000000001"/>
    <n v="0"/>
    <n v="0"/>
  </r>
  <r>
    <n v="2022"/>
    <x v="7"/>
    <n v="210.39411100000001"/>
    <n v="0"/>
    <n v="0"/>
    <n v="0"/>
    <n v="0"/>
    <n v="0.26"/>
    <n v="35.372661000000001"/>
    <n v="3"/>
    <n v="0.5"/>
    <n v="2.5"/>
    <n v="5.6067409999999995"/>
    <n v="0"/>
    <n v="0"/>
    <n v="0"/>
    <n v="0"/>
    <n v="0"/>
  </r>
  <r>
    <n v="2022"/>
    <x v="7"/>
    <n v="211.44002599999999"/>
    <n v="0"/>
    <n v="0"/>
    <n v="0"/>
    <n v="0"/>
    <n v="0"/>
    <n v="32.741566999999996"/>
    <n v="2.5"/>
    <n v="1.6300000000000001"/>
    <n v="0"/>
    <n v="5.1552809999999996"/>
    <n v="0"/>
    <n v="0"/>
    <n v="0"/>
    <n v="0"/>
    <n v="0"/>
  </r>
  <r>
    <n v="2022"/>
    <x v="7"/>
    <n v="38.661527999999997"/>
    <n v="0"/>
    <n v="0"/>
    <n v="0"/>
    <n v="0"/>
    <n v="0"/>
    <n v="1.54"/>
    <n v="0.13"/>
    <n v="0"/>
    <n v="0"/>
    <n v="0.37"/>
    <n v="0"/>
    <n v="0"/>
    <n v="0"/>
    <n v="0"/>
    <n v="0"/>
  </r>
  <r>
    <n v="2022"/>
    <x v="7"/>
    <n v="37.772897999999998"/>
    <n v="0"/>
    <n v="0"/>
    <n v="0"/>
    <n v="0"/>
    <n v="0"/>
    <n v="3.0108329999999999"/>
    <n v="0"/>
    <n v="0"/>
    <n v="0"/>
    <n v="0.13"/>
    <n v="0"/>
    <n v="0"/>
    <n v="0"/>
    <n v="0"/>
    <n v="0"/>
  </r>
  <r>
    <n v="2022"/>
    <x v="7"/>
    <n v="40.189181999999995"/>
    <n v="0"/>
    <n v="0"/>
    <n v="0"/>
    <n v="0"/>
    <n v="0"/>
    <n v="2.978631"/>
    <n v="0"/>
    <n v="0"/>
    <n v="0"/>
    <n v="0.27559600000000001"/>
    <n v="0"/>
    <n v="0"/>
    <n v="0"/>
    <n v="0"/>
    <n v="0"/>
  </r>
  <r>
    <n v="2022"/>
    <x v="7"/>
    <n v="28.897630999999997"/>
    <n v="0"/>
    <n v="0"/>
    <n v="0"/>
    <n v="0"/>
    <n v="0.22827399999999998"/>
    <n v="1.434461"/>
    <n v="9.8274E-2"/>
    <n v="0"/>
    <n v="0"/>
    <n v="0.33976099999999998"/>
    <n v="0"/>
    <n v="0"/>
    <n v="0"/>
    <n v="0"/>
    <n v="0"/>
  </r>
  <r>
    <n v="2022"/>
    <x v="8"/>
    <n v="1.5511679999999999"/>
    <n v="0.38779199999999997"/>
    <n v="0"/>
    <n v="0"/>
    <n v="0"/>
    <n v="0"/>
    <n v="0"/>
    <n v="0"/>
    <n v="0"/>
    <n v="0"/>
    <n v="0"/>
    <n v="0.66665999999999992"/>
    <n v="0"/>
    <n v="0"/>
    <n v="0"/>
    <n v="0"/>
  </r>
  <r>
    <n v="2022"/>
    <x v="8"/>
    <n v="16.636343"/>
    <n v="1.7999479999999999"/>
    <n v="0"/>
    <n v="0"/>
    <n v="0"/>
    <n v="0"/>
    <n v="2.3372999999999999"/>
    <n v="0"/>
    <n v="0"/>
    <n v="0"/>
    <n v="8.979899999999999E-2"/>
    <n v="10.257797"/>
    <n v="0"/>
    <n v="0"/>
    <n v="0"/>
    <n v="0"/>
  </r>
  <r>
    <n v="2022"/>
    <x v="8"/>
    <n v="14.780927"/>
    <n v="1.8985269999999999"/>
    <n v="0"/>
    <n v="0.12926399999999999"/>
    <n v="0"/>
    <n v="0"/>
    <n v="2.287792"/>
    <n v="0"/>
    <n v="0"/>
    <n v="0"/>
    <n v="0"/>
    <n v="13.757719"/>
    <n v="0"/>
    <n v="0"/>
    <n v="0"/>
    <n v="2.8688999999999999E-2"/>
  </r>
  <r>
    <n v="2022"/>
    <x v="8"/>
    <n v="14.410945999999999"/>
    <n v="2.868805"/>
    <n v="0"/>
    <n v="0"/>
    <n v="0"/>
    <n v="0"/>
    <n v="1.7333349999999998"/>
    <n v="0"/>
    <n v="0"/>
    <n v="0"/>
    <n v="0.11"/>
    <n v="13.754214999999999"/>
    <n v="0"/>
    <n v="0"/>
    <n v="0"/>
    <n v="6.2294999999999996E-2"/>
  </r>
  <r>
    <n v="2022"/>
    <x v="8"/>
    <n v="423.03446500000001"/>
    <n v="84.315685999999999"/>
    <n v="0"/>
    <n v="1"/>
    <n v="0"/>
    <n v="0"/>
    <n v="106.70267699999999"/>
    <n v="7"/>
    <n v="0"/>
    <n v="0.22"/>
    <n v="5.278689"/>
    <n v="134.39354600000001"/>
    <n v="74.681978999999998"/>
    <n v="0.357823"/>
    <n v="129.68704"/>
    <n v="8.2657150000000001"/>
  </r>
  <r>
    <n v="2022"/>
    <x v="8"/>
    <n v="504.35524400000003"/>
    <n v="107.11085199999999"/>
    <n v="0"/>
    <n v="0.22"/>
    <n v="0"/>
    <n v="1"/>
    <n v="113.72046399999999"/>
    <n v="6.4999989999999999"/>
    <n v="2.2000000000000002"/>
    <n v="2"/>
    <n v="12.978142"/>
    <n v="136.848174"/>
    <n v="77.150435000000002"/>
    <n v="28.476531999999999"/>
    <n v="146.474693"/>
    <n v="2.8186909999999998"/>
  </r>
  <r>
    <n v="2022"/>
    <x v="9"/>
    <n v="4.7090299999999994"/>
    <n v="0.13"/>
    <n v="0"/>
    <n v="0"/>
    <n v="0"/>
    <n v="0.26"/>
    <n v="0.39"/>
    <n v="0"/>
    <n v="0"/>
    <n v="0"/>
    <n v="0"/>
    <n v="0"/>
    <n v="0"/>
    <n v="0"/>
    <n v="0"/>
    <n v="0"/>
  </r>
  <r>
    <n v="2022"/>
    <x v="9"/>
    <n v="25.581129999999998"/>
    <n v="0.13"/>
    <n v="0"/>
    <n v="0"/>
    <n v="0"/>
    <n v="0"/>
    <n v="1.538362"/>
    <n v="0.13"/>
    <n v="0"/>
    <n v="0"/>
    <n v="0"/>
    <n v="2.6098749999999997"/>
    <n v="0"/>
    <n v="8.8888800000000003"/>
    <n v="0"/>
    <n v="0"/>
  </r>
  <r>
    <n v="2022"/>
    <x v="9"/>
    <n v="38.142251999999999"/>
    <n v="3.6494939999999998"/>
    <n v="0"/>
    <n v="0"/>
    <n v="0"/>
    <n v="0"/>
    <n v="4.6255959999999998"/>
    <n v="0"/>
    <n v="0"/>
    <n v="0"/>
    <n v="0.11742899999999999"/>
    <n v="3.3357600000000001"/>
    <n v="1.0416999999999999E-2"/>
    <n v="16.444427999999998"/>
    <n v="1.0100419999999999"/>
    <n v="0"/>
  </r>
  <r>
    <n v="2022"/>
    <x v="9"/>
    <n v="32.924393000000002"/>
    <n v="5.15"/>
    <n v="0"/>
    <n v="0.45"/>
    <n v="0"/>
    <n v="4.2856999999999999E-2"/>
    <n v="3.8282859999999999"/>
    <n v="0.31771499999999997"/>
    <n v="0"/>
    <n v="0"/>
    <n v="0.54"/>
    <n v="9.0326129999999996"/>
    <n v="5.3872109999999997"/>
    <n v="8.8000000000000007"/>
    <n v="2.2000000000000002"/>
    <n v="0"/>
  </r>
  <r>
    <n v="2022"/>
    <x v="9"/>
    <n v="39.866197999999997"/>
    <n v="3.1295479999999998"/>
    <n v="0"/>
    <n v="0.15"/>
    <n v="0.13"/>
    <n v="0"/>
    <n v="4.6405779999999996"/>
    <n v="0.39"/>
    <n v="0"/>
    <n v="0"/>
    <n v="0.39"/>
    <n v="16.155438"/>
    <n v="3.7232419999999999"/>
    <n v="11.555543999999999"/>
    <n v="0"/>
    <n v="0"/>
  </r>
  <r>
    <n v="2022"/>
    <x v="9"/>
    <n v="324.53786700000001"/>
    <n v="53.676446999999996"/>
    <n v="0"/>
    <n v="0.125143"/>
    <n v="0"/>
    <n v="0"/>
    <n v="62.532013999999997"/>
    <n v="5.0071209999999997"/>
    <n v="0"/>
    <n v="3"/>
    <n v="11.522568999999999"/>
    <n v="165.73385300000001"/>
    <n v="50.500892"/>
    <n v="0"/>
    <n v="76.509270000000001"/>
    <n v="0"/>
  </r>
  <r>
    <n v="2022"/>
    <x v="9"/>
    <n v="335.62669399999999"/>
    <n v="57.034659999999995"/>
    <n v="0"/>
    <n v="0.12926099999999999"/>
    <n v="0"/>
    <n v="0"/>
    <n v="58.375796999999999"/>
    <n v="2.5"/>
    <n v="0.5"/>
    <n v="1.6292609999999998"/>
    <n v="16.058237999999999"/>
    <n v="182.95228900000001"/>
    <n v="43.872157000000001"/>
    <n v="0"/>
    <n v="58.318525999999999"/>
    <n v="0"/>
  </r>
  <r>
    <n v="2022"/>
    <x v="10"/>
    <n v="1.6400000000000001"/>
    <n v="0"/>
    <n v="0"/>
    <n v="0"/>
    <n v="0"/>
    <n v="0"/>
    <n v="0"/>
    <n v="0"/>
    <n v="0"/>
    <n v="0"/>
    <n v="0"/>
    <n v="0"/>
    <n v="0"/>
    <n v="0"/>
    <n v="0"/>
    <n v="0"/>
  </r>
  <r>
    <n v="2022"/>
    <x v="10"/>
    <n v="26.558076999999997"/>
    <n v="0"/>
    <n v="0"/>
    <n v="0"/>
    <n v="0"/>
    <n v="0.15"/>
    <n v="2.293555"/>
    <n v="0"/>
    <n v="0"/>
    <n v="0"/>
    <n v="0.75"/>
    <n v="0"/>
    <n v="0"/>
    <n v="0"/>
    <n v="16.450272999999999"/>
    <n v="0"/>
  </r>
  <r>
    <n v="2022"/>
    <x v="10"/>
    <n v="4.1399999999999997"/>
    <n v="0.3"/>
    <n v="0"/>
    <n v="0"/>
    <n v="0"/>
    <n v="0.15"/>
    <n v="0.297458"/>
    <n v="0"/>
    <n v="0"/>
    <n v="0"/>
    <n v="0"/>
    <n v="0"/>
    <n v="0"/>
    <n v="0"/>
    <n v="0"/>
    <n v="0"/>
  </r>
  <r>
    <n v="2022"/>
    <x v="10"/>
    <n v="727.97790399999997"/>
    <n v="166.96898399999998"/>
    <n v="0"/>
    <n v="0.93785299999999994"/>
    <n v="0"/>
    <n v="1"/>
    <n v="111.73814400000001"/>
    <n v="6.8308469999999994"/>
    <n v="0"/>
    <n v="0.5"/>
    <n v="11.748135999999999"/>
    <n v="202.91701699999999"/>
    <n v="135.89262300000001"/>
    <n v="0"/>
    <n v="259.76236499999999"/>
    <n v="0"/>
  </r>
  <r>
    <n v="2022"/>
    <x v="10"/>
    <n v="678.73323400000004"/>
    <n v="165.97875199999999"/>
    <n v="0"/>
    <n v="30.027930999999999"/>
    <n v="0"/>
    <n v="0"/>
    <n v="94.417290999999992"/>
    <n v="3.8285709999999997"/>
    <n v="0"/>
    <n v="7.5"/>
    <n v="7.3514289999999995"/>
    <n v="186.772256"/>
    <n v="107.308452"/>
    <n v="0"/>
    <n v="195.61722700000001"/>
    <n v="0"/>
  </r>
  <r>
    <n v="2022"/>
    <x v="11"/>
    <n v="1"/>
    <n v="0"/>
    <n v="0"/>
    <n v="0"/>
    <n v="0"/>
    <n v="0"/>
    <n v="0"/>
    <n v="0"/>
    <n v="0"/>
    <n v="0"/>
    <n v="0"/>
    <n v="0"/>
    <n v="0"/>
    <n v="9.090899999999999E-2"/>
    <n v="0.73737299999999995"/>
    <n v="0"/>
  </r>
  <r>
    <n v="2022"/>
    <x v="11"/>
    <n v="288.16999299999998"/>
    <n v="61.085591999999998"/>
    <n v="0"/>
    <n v="0"/>
    <n v="0"/>
    <n v="0"/>
    <n v="54.692655999999999"/>
    <n v="0.183256"/>
    <n v="0.96098299999999992"/>
    <n v="2.5"/>
    <n v="2.78721"/>
    <n v="83.664923999999999"/>
    <n v="61.880100999999996"/>
    <n v="3.0535079999999999"/>
    <n v="82.150159000000002"/>
    <n v="0"/>
  </r>
  <r>
    <n v="2022"/>
    <x v="11"/>
    <n v="97.612647999999993"/>
    <n v="22.740836999999999"/>
    <n v="0"/>
    <n v="0"/>
    <n v="0"/>
    <n v="0"/>
    <n v="24.147476999999999"/>
    <n v="0"/>
    <n v="0"/>
    <n v="0"/>
    <n v="0"/>
    <n v="12.061363999999999"/>
    <n v="0"/>
    <n v="33.004416999999997"/>
    <n v="45.850741999999997"/>
    <n v="0"/>
  </r>
  <r>
    <n v="2022"/>
    <x v="11"/>
    <n v="357.56582400000002"/>
    <n v="80.911732000000001"/>
    <n v="0"/>
    <n v="0"/>
    <n v="0"/>
    <n v="0"/>
    <n v="60.686319999999995"/>
    <n v="2.5"/>
    <n v="0"/>
    <n v="0.75"/>
    <n v="4"/>
    <n v="78.634974"/>
    <n v="85.412258999999992"/>
    <n v="1.2965719999999998"/>
    <n v="147.146411"/>
    <n v="0"/>
  </r>
  <r>
    <n v="2022"/>
    <x v="12"/>
    <n v="449.71982400000002"/>
    <n v="68.071022999999997"/>
    <n v="0"/>
    <n v="0.125"/>
    <n v="0"/>
    <n v="0"/>
    <n v="84.843305000000001"/>
    <n v="7.0302479999999994"/>
    <n v="1"/>
    <n v="7.2975000000000003"/>
    <n v="22.040512"/>
    <n v="122.66049599999999"/>
    <n v="71.679543999999993"/>
    <n v="25.654005999999999"/>
    <n v="130.925285"/>
    <n v="7.7828809999999997"/>
  </r>
  <r>
    <n v="2022"/>
    <x v="12"/>
    <n v="424.48445400000003"/>
    <n v="74.002796000000004"/>
    <n v="0"/>
    <n v="0"/>
    <n v="0"/>
    <n v="1.1400000000000001"/>
    <n v="60.124607999999995"/>
    <n v="7.6270449999999999"/>
    <n v="0"/>
    <n v="2.1340779999999997"/>
    <n v="12.889728"/>
    <n v="142.57368700000001"/>
    <n v="47.353611000000001"/>
    <n v="0.459366"/>
    <n v="171.43297100000001"/>
    <n v="4.3699279999999998"/>
  </r>
  <r>
    <n v="2022"/>
    <x v="12"/>
    <n v="44.757210000000001"/>
    <n v="0"/>
    <n v="0"/>
    <n v="0"/>
    <n v="0"/>
    <n v="0"/>
    <n v="4.5178769999999995"/>
    <n v="0.174399"/>
    <n v="0"/>
    <n v="4.2622E-2"/>
    <n v="2.9434999999999999E-2"/>
    <n v="30.659744"/>
    <n v="0"/>
    <n v="0"/>
    <n v="3.5715019999999997"/>
    <n v="4.1333060000000001"/>
  </r>
  <r>
    <n v="2022"/>
    <x v="12"/>
    <n v="48.921270999999997"/>
    <n v="0"/>
    <n v="0"/>
    <n v="0"/>
    <n v="0"/>
    <n v="0.13920199999999999"/>
    <n v="2.978812"/>
    <n v="0"/>
    <n v="0"/>
    <n v="0.28000000000000003"/>
    <n v="0.41920199999999996"/>
    <n v="39.598607000000001"/>
    <n v="0"/>
    <n v="0"/>
    <n v="1.8234089999999998"/>
    <n v="2.9536560000000001"/>
  </r>
  <r>
    <n v="2022"/>
    <x v="12"/>
    <n v="59.173811999999998"/>
    <n v="0"/>
    <n v="0"/>
    <n v="0"/>
    <n v="0"/>
    <n v="0.14000000000000001"/>
    <n v="4.8968479999999994"/>
    <n v="0.13920199999999999"/>
    <n v="3.2731999999999997E-2"/>
    <n v="0"/>
    <n v="0.29177399999999998"/>
    <n v="18.499918999999998"/>
    <n v="0"/>
    <n v="0"/>
    <n v="0.72290999999999994"/>
    <n v="10.065291999999999"/>
  </r>
  <r>
    <n v="2022"/>
    <x v="12"/>
    <n v="47.910145999999997"/>
    <n v="0"/>
    <n v="0"/>
    <n v="0"/>
    <n v="0"/>
    <n v="4.5037999999999995E-2"/>
    <n v="3.5855609999999998"/>
    <n v="0"/>
    <n v="0"/>
    <n v="4.2984000000000001E-2"/>
    <n v="0.54142699999999999"/>
    <n v="21.405483999999998"/>
    <n v="0"/>
    <n v="0"/>
    <n v="0"/>
    <n v="0"/>
  </r>
  <r>
    <n v="2022"/>
    <x v="13"/>
    <n v="0"/>
    <n v="0"/>
    <n v="0"/>
    <n v="0"/>
    <n v="0"/>
    <n v="0"/>
    <n v="0"/>
    <n v="0"/>
    <n v="0"/>
    <n v="0"/>
    <n v="0"/>
    <n v="0"/>
    <n v="0"/>
    <n v="0"/>
    <n v="0"/>
    <n v="0"/>
  </r>
  <r>
    <n v="2022"/>
    <x v="13"/>
    <n v="136.51868899999999"/>
    <n v="40.720110999999996"/>
    <n v="0"/>
    <n v="0"/>
    <n v="0"/>
    <n v="0.85910399999999998"/>
    <n v="13.511452999999999"/>
    <n v="1.516454"/>
    <n v="0"/>
    <n v="0.56000000000000005"/>
    <n v="1.300373"/>
    <n v="0"/>
    <n v="0"/>
    <n v="0"/>
    <n v="0"/>
    <n v="0"/>
  </r>
  <r>
    <n v="2022"/>
    <x v="13"/>
    <n v="190.72520800000001"/>
    <n v="50.596513999999999"/>
    <n v="0"/>
    <n v="0"/>
    <n v="0"/>
    <n v="0.73174299999999992"/>
    <n v="16.44078"/>
    <n v="1.430461"/>
    <n v="0"/>
    <n v="0.51068199999999997"/>
    <n v="0.82955099999999993"/>
    <n v="59.660162"/>
    <n v="3.0719999999999997E-2"/>
    <n v="0"/>
    <n v="0"/>
    <n v="0"/>
  </r>
  <r>
    <n v="2022"/>
    <x v="13"/>
    <n v="202.18624700000001"/>
    <n v="70.514274"/>
    <n v="0"/>
    <n v="0"/>
    <n v="0"/>
    <n v="0.89265399999999995"/>
    <n v="16.064460999999998"/>
    <n v="0.669099"/>
    <n v="0"/>
    <n v="0.240233"/>
    <n v="1.6329199999999999"/>
    <n v="66.140058999999994"/>
    <n v="0"/>
    <n v="6.8610899999999999"/>
    <n v="0"/>
    <n v="0"/>
  </r>
  <r>
    <n v="2022"/>
    <x v="13"/>
    <n v="196.08589599999999"/>
    <n v="60.258666999999996"/>
    <n v="0"/>
    <n v="0"/>
    <n v="0"/>
    <n v="0"/>
    <n v="11.320753999999999"/>
    <n v="0.838534"/>
    <n v="-3.2239999999999999E-3"/>
    <n v="0.13"/>
    <n v="0.69000000000000006"/>
    <n v="104.335015"/>
    <n v="35.127088000000001"/>
    <n v="4.0472359999999998"/>
    <n v="1.117594"/>
    <n v="3.3904199999999998"/>
  </r>
  <r>
    <n v="2022"/>
    <x v="13"/>
    <n v="194.915539"/>
    <n v="52.835511999999994"/>
    <n v="0"/>
    <n v="0"/>
    <n v="0"/>
    <n v="0.42"/>
    <n v="11.801584999999999"/>
    <n v="0.55000000000000004"/>
    <n v="0"/>
    <n v="0.26"/>
    <n v="0.66908000000000001"/>
    <n v="101.977514"/>
    <n v="38.798587999999995"/>
    <n v="1.87134"/>
    <n v="10.329779"/>
    <n v="2.7735249999999998"/>
  </r>
  <r>
    <n v="2022"/>
    <x v="13"/>
    <n v="1426.9122910000001"/>
    <n v="283.85648700000002"/>
    <n v="1.034286"/>
    <n v="30.52844"/>
    <n v="4"/>
    <n v="2.0571429999999999"/>
    <n v="243.52550600000001"/>
    <n v="10.665930999999999"/>
    <n v="0"/>
    <n v="0"/>
    <n v="11.71"/>
    <n v="418.19940400000002"/>
    <n v="238.55196799999999"/>
    <n v="5.3481990000000001"/>
    <n v="722.22296800000004"/>
    <n v="0.73869799999999997"/>
  </r>
  <r>
    <n v="2022"/>
    <x v="13"/>
    <n v="1510.473747"/>
    <n v="419.54872599999999"/>
    <n v="0"/>
    <n v="20.541450999999999"/>
    <n v="2"/>
    <n v="1"/>
    <n v="250.48111900000001"/>
    <n v="16.771260999999999"/>
    <n v="0"/>
    <n v="8.0389400000000002"/>
    <n v="29.520840999999997"/>
    <n v="414.13988899999998"/>
    <n v="274.17747700000001"/>
    <n v="17.779207"/>
    <n v="521.55737099999999"/>
    <n v="0.83900699999999995"/>
  </r>
  <r>
    <n v="2022"/>
    <x v="14"/>
    <n v="128.16217799999998"/>
    <n v="62.830610999999998"/>
    <n v="0"/>
    <n v="0"/>
    <n v="0"/>
    <n v="0"/>
    <n v="28.309832"/>
    <n v="6.1340779999999997"/>
    <n v="1"/>
    <n v="4"/>
    <n v="0"/>
    <n v="33.16816"/>
    <n v="20.920261"/>
    <n v="0"/>
    <n v="47.063265000000001"/>
    <n v="0"/>
  </r>
  <r>
    <n v="2022"/>
    <x v="14"/>
    <n v="2.87"/>
    <n v="0"/>
    <n v="0"/>
    <n v="0"/>
    <n v="0"/>
    <n v="0"/>
    <n v="0"/>
    <n v="0"/>
    <n v="0"/>
    <n v="1"/>
    <n v="1.87"/>
    <n v="0"/>
    <n v="1.2500009999999999"/>
    <n v="0"/>
    <n v="0.98889399999999994"/>
    <n v="0"/>
  </r>
  <r>
    <n v="2022"/>
    <x v="14"/>
    <n v="173.537173"/>
    <n v="112.01223299999999"/>
    <n v="0"/>
    <n v="0"/>
    <n v="0"/>
    <n v="0"/>
    <n v="31.227540999999999"/>
    <n v="3"/>
    <n v="0"/>
    <n v="1.87"/>
    <n v="2.9777779999999998"/>
    <n v="45.651201"/>
    <n v="26.020083"/>
    <n v="0"/>
    <n v="74.809579999999997"/>
    <n v="0"/>
  </r>
  <r>
    <n v="2022"/>
    <x v="15"/>
    <n v="223.537859"/>
    <n v="72.906263999999993"/>
    <n v="0"/>
    <n v="2"/>
    <n v="0"/>
    <n v="0"/>
    <n v="32.977142999999998"/>
    <n v="4.0604399999999998"/>
    <n v="0"/>
    <n v="1.2774729999999999"/>
    <n v="3.5"/>
    <n v="56.125194"/>
    <n v="38.161662999999997"/>
    <n v="0.74862600000000001"/>
    <n v="60.284081"/>
    <n v="0"/>
  </r>
  <r>
    <n v="2022"/>
    <x v="15"/>
    <n v="256.07609600000001"/>
    <n v="35.439065999999997"/>
    <n v="0"/>
    <n v="1"/>
    <n v="0"/>
    <n v="0"/>
    <n v="41.780878999999999"/>
    <n v="3"/>
    <n v="0"/>
    <n v="0"/>
    <n v="2.5"/>
    <n v="67.784358999999995"/>
    <n v="40.454291999999995"/>
    <n v="0"/>
    <n v="87.953768999999994"/>
    <n v="0"/>
  </r>
  <r>
    <n v="2022"/>
    <x v="15"/>
    <n v="3.59"/>
    <n v="0"/>
    <n v="0"/>
    <n v="0"/>
    <n v="0"/>
    <n v="0"/>
    <n v="0.13"/>
    <n v="0"/>
    <n v="0"/>
    <n v="0"/>
    <n v="0"/>
    <n v="0.41666599999999998"/>
    <n v="6.2205999999999997E-2"/>
    <n v="0"/>
    <n v="0.55301599999999995"/>
    <n v="0"/>
  </r>
  <r>
    <n v="2022"/>
    <x v="15"/>
    <n v="38.131482999999996"/>
    <n v="4.7750000000000004"/>
    <n v="0"/>
    <n v="0"/>
    <n v="0"/>
    <n v="0"/>
    <n v="7.1826919999999994"/>
    <n v="0"/>
    <n v="0"/>
    <n v="0"/>
    <n v="1"/>
    <n v="7.2569629999999998"/>
    <n v="1.6719999999999999E-3"/>
    <n v="4.9079980000000001"/>
    <n v="9.281898"/>
    <n v="0"/>
  </r>
  <r>
    <n v="2022"/>
    <x v="16"/>
    <n v="195.87514399999998"/>
    <n v="24.447917"/>
    <n v="0"/>
    <n v="0"/>
    <n v="0"/>
    <n v="0"/>
    <n v="33.536111999999996"/>
    <n v="2.5583329999999997"/>
    <n v="0"/>
    <n v="0"/>
    <n v="1"/>
    <n v="127.110805"/>
    <n v="55.613388"/>
    <n v="0"/>
    <n v="5.3166649999999995"/>
    <n v="0"/>
  </r>
  <r>
    <n v="2022"/>
    <x v="16"/>
    <n v="4.5222220000000002"/>
    <n v="0.588889"/>
    <n v="0"/>
    <n v="0"/>
    <n v="0"/>
    <n v="0"/>
    <n v="0"/>
    <n v="0"/>
    <n v="0"/>
    <n v="0"/>
    <n v="0"/>
    <n v="2.4166669999999999"/>
    <n v="1.3817659999999998"/>
    <n v="0"/>
    <n v="0.58111099999999993"/>
    <n v="0"/>
  </r>
  <r>
    <n v="2022"/>
    <x v="16"/>
    <n v="151.466666"/>
    <n v="24.686111"/>
    <n v="0"/>
    <n v="0"/>
    <n v="0"/>
    <n v="0.5"/>
    <n v="22.727777"/>
    <n v="0"/>
    <n v="0"/>
    <n v="0"/>
    <n v="1"/>
    <n v="83.673391999999993"/>
    <n v="42.222260999999996"/>
    <n v="0"/>
    <n v="4.8333389999999996"/>
    <n v="0"/>
  </r>
  <r>
    <n v="2022"/>
    <x v="17"/>
    <n v="3.8582179999999999"/>
    <n v="0"/>
    <n v="0"/>
    <n v="0"/>
    <n v="0"/>
    <n v="0.24"/>
    <n v="0"/>
    <n v="0"/>
    <n v="0"/>
    <n v="0"/>
    <n v="0"/>
    <n v="0"/>
    <n v="0"/>
    <n v="0"/>
    <n v="0"/>
    <n v="0"/>
  </r>
  <r>
    <n v="2022"/>
    <x v="17"/>
    <n v="7.41214"/>
    <n v="0.06"/>
    <n v="0"/>
    <n v="0"/>
    <n v="0"/>
    <n v="0.03"/>
    <n v="0.20550599999999999"/>
    <n v="0"/>
    <n v="0"/>
    <n v="0"/>
    <n v="2.2752999999999999E-2"/>
    <n v="5.3179859999999994"/>
    <n v="0"/>
    <n v="0"/>
    <n v="0"/>
    <n v="0"/>
  </r>
  <r>
    <n v="2022"/>
    <x v="17"/>
    <n v="20.046175999999999"/>
    <n v="1.482807"/>
    <n v="0"/>
    <n v="0"/>
    <n v="0"/>
    <n v="0.38292099999999996"/>
    <n v="1.118482"/>
    <n v="0"/>
    <n v="0.14000000000000001"/>
    <n v="0"/>
    <n v="0.56584199999999996"/>
    <n v="13.326673999999999"/>
    <n v="0"/>
    <n v="0"/>
    <n v="0"/>
    <n v="0"/>
  </r>
  <r>
    <n v="2022"/>
    <x v="17"/>
    <n v="25.433312999999998"/>
    <n v="0.92"/>
    <n v="0"/>
    <n v="0"/>
    <n v="0"/>
    <n v="0.38"/>
    <n v="1.799213"/>
    <n v="0"/>
    <n v="0"/>
    <n v="0.28000000000000003"/>
    <n v="0.13"/>
    <n v="12.815370999999999"/>
    <n v="2.5842739999999997"/>
    <n v="1.5906659999999999"/>
    <n v="0.110487"/>
    <n v="0.04"/>
  </r>
  <r>
    <n v="2022"/>
    <x v="17"/>
    <n v="26.847242999999999"/>
    <n v="1.4114609999999999"/>
    <n v="0"/>
    <n v="0"/>
    <n v="0"/>
    <n v="0"/>
    <n v="2.4500000000000002"/>
    <n v="0"/>
    <n v="0"/>
    <n v="0.14000000000000001"/>
    <n v="0.14000000000000001"/>
    <n v="11.150539999999999"/>
    <n v="1.4881609999999998"/>
    <n v="0.752444"/>
    <n v="2.2442069999999998"/>
    <n v="2.477446"/>
  </r>
  <r>
    <n v="2022"/>
    <x v="17"/>
    <n v="323.80606699999998"/>
    <n v="307.38730299999997"/>
    <n v="0"/>
    <n v="0"/>
    <n v="0"/>
    <n v="0"/>
    <n v="77.613315"/>
    <n v="4.8539329999999996"/>
    <n v="1.1300000000000001"/>
    <n v="4.876404"/>
    <n v="4.3884270000000001"/>
    <n v="101.88851"/>
    <n v="50.901837999999998"/>
    <n v="0.66193199999999996"/>
    <n v="162.04194200000001"/>
    <n v="1.839809"/>
  </r>
  <r>
    <n v="2022"/>
    <x v="17"/>
    <n v="268.47073699999999"/>
    <n v="243.40166500000001"/>
    <n v="0"/>
    <n v="0"/>
    <n v="0"/>
    <n v="0"/>
    <n v="49.157662999999999"/>
    <n v="2"/>
    <n v="1"/>
    <n v="5.2343820000000001"/>
    <n v="5.5303369999999994"/>
    <n v="84.019534999999991"/>
    <n v="38.988118999999998"/>
    <n v="7.0228639999999993"/>
    <n v="122.046623"/>
    <n v="3.0405829999999998"/>
  </r>
  <r>
    <n v="2022"/>
    <x v="18"/>
    <n v="328.60547700000001"/>
    <n v="80.790919000000002"/>
    <n v="0"/>
    <n v="3"/>
    <n v="1"/>
    <n v="0"/>
    <n v="49.567273"/>
    <n v="3"/>
    <n v="0"/>
    <n v="0.74482799999999993"/>
    <n v="4.8029599999999997"/>
    <n v="85.916883999999996"/>
    <n v="44.191741999999998"/>
    <n v="0"/>
    <n v="101.830567"/>
    <n v="2.1999960000000001"/>
  </r>
  <r>
    <n v="2022"/>
    <x v="18"/>
    <n v="379.82918100000001"/>
    <n v="77.729942999999992"/>
    <n v="0"/>
    <n v="2.3706209999999999"/>
    <n v="3"/>
    <n v="0.13"/>
    <n v="49.246496"/>
    <n v="6.181921"/>
    <n v="0"/>
    <n v="1.8259879999999999"/>
    <n v="1.8"/>
    <n v="100.751041"/>
    <n v="50.109248000000001"/>
    <n v="0"/>
    <n v="146.878151"/>
    <n v="0"/>
  </r>
  <r>
    <n v="2022"/>
    <x v="18"/>
    <n v="21.097102"/>
    <n v="0"/>
    <n v="0"/>
    <n v="0"/>
    <n v="0"/>
    <n v="0.14000000000000001"/>
    <n v="2.1872720000000001"/>
    <n v="0"/>
    <n v="0"/>
    <n v="0"/>
    <n v="0.12"/>
    <n v="9.8176869999999994"/>
    <n v="2.0476829999999997"/>
    <n v="0"/>
    <n v="1.536368"/>
    <n v="0"/>
  </r>
  <r>
    <n v="2022"/>
    <x v="18"/>
    <n v="25.494730000000001"/>
    <n v="0"/>
    <n v="0"/>
    <n v="0"/>
    <n v="0"/>
    <n v="0"/>
    <n v="1.939398"/>
    <n v="0.14000000000000001"/>
    <n v="0"/>
    <n v="0"/>
    <n v="0.14000000000000001"/>
    <n v="12.486875999999999"/>
    <n v="2.832694"/>
    <n v="0"/>
    <n v="1.3179989999999999"/>
    <n v="0"/>
  </r>
  <r>
    <n v="2022"/>
    <x v="18"/>
    <n v="46.984500000000004"/>
    <n v="0.13370799999999999"/>
    <n v="0"/>
    <n v="0"/>
    <n v="0"/>
    <n v="0"/>
    <n v="4.1809810000000001"/>
    <n v="0"/>
    <n v="0"/>
    <n v="0.28000000000000003"/>
    <n v="0.51"/>
    <n v="18.688347999999998"/>
    <n v="0"/>
    <n v="0"/>
    <n v="3.103809"/>
    <n v="0"/>
  </r>
  <r>
    <n v="2022"/>
    <x v="18"/>
    <n v="64.325893999999991"/>
    <n v="0"/>
    <n v="0"/>
    <n v="0"/>
    <n v="0"/>
    <n v="0.4"/>
    <n v="6.257841"/>
    <n v="0.64"/>
    <n v="0"/>
    <n v="0"/>
    <n v="0.28000000000000003"/>
    <n v="6.87601"/>
    <n v="0"/>
    <n v="0"/>
    <n v="23.548992999999999"/>
    <n v="0"/>
  </r>
  <r>
    <n v="2022"/>
    <x v="18"/>
    <n v="13.574988999999999"/>
    <n v="0"/>
    <n v="0"/>
    <n v="0"/>
    <n v="0"/>
    <n v="0.235932"/>
    <n v="0.95767999999999998"/>
    <n v="0.117966"/>
    <n v="0"/>
    <n v="0"/>
    <n v="0.117966"/>
    <n v="0"/>
    <n v="0"/>
    <n v="0"/>
    <n v="0"/>
    <n v="0"/>
  </r>
  <r>
    <n v="2022"/>
    <x v="19"/>
    <n v="392.51340900000002"/>
    <n v="101.67766399999999"/>
    <n v="0"/>
    <n v="0"/>
    <n v="0"/>
    <n v="0"/>
    <n v="86.722602999999992"/>
    <n v="5.0798629999999996"/>
    <n v="0"/>
    <n v="0"/>
    <n v="17.234939000000001"/>
    <n v="89.99901899999999"/>
    <n v="60.243328999999996"/>
    <n v="1.3846000000000001"/>
    <n v="162.31424200000001"/>
    <n v="0"/>
  </r>
  <r>
    <n v="2022"/>
    <x v="19"/>
    <n v="207.673721"/>
    <n v="52.920293999999998"/>
    <n v="0"/>
    <n v="0"/>
    <n v="0"/>
    <n v="0"/>
    <n v="50.789300000000004"/>
    <n v="3"/>
    <n v="0"/>
    <n v="0"/>
    <n v="2.9520960000000001"/>
    <n v="0"/>
    <n v="0"/>
    <n v="89.630664999999993"/>
    <n v="91.661923999999999"/>
    <n v="0"/>
  </r>
  <r>
    <n v="2022"/>
    <x v="19"/>
    <n v="10.023835999999999"/>
    <n v="0"/>
    <n v="0"/>
    <n v="0"/>
    <n v="0"/>
    <n v="0"/>
    <n v="1.5408839999999999"/>
    <n v="0"/>
    <n v="0"/>
    <n v="0"/>
    <n v="9.4117999999999993E-2"/>
    <n v="0"/>
    <n v="0"/>
    <n v="0.25653599999999999"/>
    <n v="9.2870139999999992"/>
    <n v="0"/>
  </r>
  <r>
    <n v="2022"/>
    <x v="19"/>
    <n v="372.244235"/>
    <n v="112.138272"/>
    <n v="0"/>
    <n v="0"/>
    <n v="0"/>
    <n v="0"/>
    <n v="61.401235999999997"/>
    <n v="3"/>
    <n v="0"/>
    <n v="5"/>
    <n v="12.5"/>
    <n v="86.913837000000001"/>
    <n v="50.402712000000001"/>
    <n v="4.1997330000000002"/>
    <n v="160.09043299999999"/>
    <n v="0"/>
  </r>
  <r>
    <n v="2022"/>
    <x v="19"/>
    <n v="205.24016599999999"/>
    <n v="74.874055999999996"/>
    <n v="0"/>
    <n v="0"/>
    <n v="0"/>
    <n v="0"/>
    <n v="48.819224999999996"/>
    <n v="0"/>
    <n v="0"/>
    <n v="0"/>
    <n v="4.3262489999999998"/>
    <n v="2.4510000000000001E-3"/>
    <n v="0"/>
    <n v="86.912819999999996"/>
    <n v="90.842755999999994"/>
    <n v="0"/>
  </r>
  <r>
    <n v="2022"/>
    <x v="20"/>
    <n v="1.9401659999999998"/>
    <n v="1.4000000000000001"/>
    <n v="0"/>
    <n v="0"/>
    <n v="0"/>
    <n v="0"/>
    <n v="0.56000000000000005"/>
    <n v="0.120166"/>
    <n v="0"/>
    <n v="0"/>
    <n v="0"/>
    <n v="0"/>
    <n v="0"/>
    <n v="1.3310899999999999"/>
    <n v="0"/>
    <n v="0"/>
  </r>
  <r>
    <n v="2022"/>
    <x v="20"/>
    <n v="1.96"/>
    <n v="0.94147999999999998"/>
    <n v="0"/>
    <n v="0"/>
    <n v="0"/>
    <n v="0"/>
    <n v="0.98"/>
    <n v="0"/>
    <n v="0"/>
    <n v="0"/>
    <n v="0"/>
    <n v="0"/>
    <n v="0"/>
    <n v="1.0145230000000001"/>
    <n v="0"/>
    <n v="0"/>
  </r>
  <r>
    <n v="2022"/>
    <x v="20"/>
    <n v="3.1148769999999999"/>
    <n v="1.1348769999999999"/>
    <n v="0"/>
    <n v="0"/>
    <n v="0"/>
    <n v="0"/>
    <n v="1.4000000000000001"/>
    <n v="0"/>
    <n v="0"/>
    <n v="0"/>
    <n v="0"/>
    <n v="0"/>
    <n v="0"/>
    <n v="1.4018439999999999"/>
    <n v="0"/>
    <n v="0"/>
  </r>
  <r>
    <n v="2022"/>
    <x v="20"/>
    <n v="5.8738029999999997"/>
    <n v="1.7769359999999998"/>
    <n v="0"/>
    <n v="0"/>
    <n v="0"/>
    <n v="0"/>
    <n v="0.85"/>
    <n v="0.14000000000000001"/>
    <n v="0"/>
    <n v="0"/>
    <n v="0.14661099999999999"/>
    <n v="0.35555599999999998"/>
    <n v="0"/>
    <n v="1.5710569999999999"/>
    <n v="0.41886699999999999"/>
    <n v="0"/>
  </r>
  <r>
    <n v="2022"/>
    <x v="20"/>
    <n v="369.512923"/>
    <n v="132.151794"/>
    <n v="0"/>
    <n v="0"/>
    <n v="0"/>
    <n v="1"/>
    <n v="81.581434000000002"/>
    <n v="5.0282489999999997"/>
    <n v="1"/>
    <n v="0"/>
    <n v="7.9253109999999998"/>
    <n v="72.929687000000001"/>
    <n v="66.159784000000002"/>
    <n v="1.391799"/>
    <n v="131.73074600000001"/>
    <n v="0"/>
  </r>
  <r>
    <n v="2022"/>
    <x v="20"/>
    <n v="375.93774999999999"/>
    <n v="157.445198"/>
    <n v="0"/>
    <n v="0"/>
    <n v="0"/>
    <n v="0"/>
    <n v="79.877274"/>
    <n v="4.8397730000000001"/>
    <n v="1"/>
    <n v="1"/>
    <n v="12.083503"/>
    <n v="97.76007899999999"/>
    <n v="71.887087999999991"/>
    <n v="2.4012579999999999"/>
    <n v="118.528432"/>
    <n v="0"/>
  </r>
  <r>
    <n v="2022"/>
    <x v="21"/>
    <n v="2.0136189999999998"/>
    <n v="0"/>
    <n v="0"/>
    <n v="0"/>
    <n v="0"/>
    <n v="0"/>
    <n v="0"/>
    <n v="0"/>
    <n v="0"/>
    <n v="0"/>
    <n v="0"/>
    <n v="0"/>
    <n v="0"/>
    <n v="0"/>
    <n v="0"/>
    <n v="0"/>
  </r>
  <r>
    <n v="2022"/>
    <x v="21"/>
    <n v="40.759226999999996"/>
    <n v="6.772996"/>
    <n v="0"/>
    <n v="3.2183999999999997E-2"/>
    <n v="0"/>
    <n v="0.26633599999999996"/>
    <n v="3.7375029999999998"/>
    <n v="0"/>
    <n v="0"/>
    <n v="0.16"/>
    <n v="0.36863199999999996"/>
    <n v="17.027365"/>
    <n v="1.599621"/>
    <n v="0"/>
    <n v="0"/>
    <n v="0"/>
  </r>
  <r>
    <n v="2022"/>
    <x v="21"/>
    <n v="61.994430999999999"/>
    <n v="11.327581"/>
    <n v="0"/>
    <n v="0.26"/>
    <n v="0"/>
    <n v="3.2183999999999997E-2"/>
    <n v="5.7149529999999995"/>
    <n v="0.75195400000000001"/>
    <n v="0.14000000000000001"/>
    <n v="0"/>
    <n v="0.27"/>
    <n v="27.505027999999999"/>
    <n v="1.084462"/>
    <n v="0"/>
    <n v="0.89445299999999994"/>
    <n v="0"/>
  </r>
  <r>
    <n v="2022"/>
    <x v="21"/>
    <n v="69.528624999999991"/>
    <n v="12.657338999999999"/>
    <n v="0"/>
    <n v="0.38"/>
    <n v="0"/>
    <n v="0"/>
    <n v="5.7698469999999995"/>
    <n v="0.26"/>
    <n v="0"/>
    <n v="0.13"/>
    <n v="0.44"/>
    <n v="52.354357999999998"/>
    <n v="10.048603999999999"/>
    <n v="0.15568199999999999"/>
    <n v="0"/>
    <n v="0"/>
  </r>
  <r>
    <n v="2022"/>
    <x v="21"/>
    <n v="63.316966999999998"/>
    <n v="13.498735"/>
    <n v="0"/>
    <n v="0.139205"/>
    <n v="0"/>
    <n v="0.14000000000000001"/>
    <n v="3.2403149999999998"/>
    <n v="0.70114900000000002"/>
    <n v="0"/>
    <n v="0"/>
    <n v="0.48"/>
    <n v="41.244479999999996"/>
    <n v="5.9901839999999993"/>
    <n v="2.1239300000000001"/>
    <n v="0"/>
    <n v="0"/>
  </r>
  <r>
    <n v="2022"/>
    <x v="21"/>
    <n v="921.82882099999995"/>
    <n v="78.401972000000001"/>
    <n v="0"/>
    <n v="2.139205"/>
    <n v="0"/>
    <n v="1"/>
    <n v="124.733356"/>
    <n v="4.8076409999999994"/>
    <n v="1"/>
    <n v="2"/>
    <n v="8.716963999999999"/>
    <n v="265.27380800000003"/>
    <n v="142.405585"/>
    <n v="4.0175640000000001"/>
    <n v="369.890828"/>
    <n v="0"/>
  </r>
  <r>
    <n v="2022"/>
    <x v="21"/>
    <n v="849.06364399999995"/>
    <n v="169.03640799999999"/>
    <n v="0"/>
    <n v="2.17"/>
    <n v="0"/>
    <n v="1.28"/>
    <n v="113.855796"/>
    <n v="3.9914289999999997"/>
    <n v="1"/>
    <n v="2"/>
    <n v="13.297758999999999"/>
    <n v="336.513487"/>
    <n v="131.846531"/>
    <n v="10.709562999999999"/>
    <n v="236.08046100000001"/>
    <n v="0"/>
  </r>
  <r>
    <n v="2022"/>
    <x v="22"/>
    <n v="7.8155809999999999"/>
    <n v="0"/>
    <n v="0"/>
    <n v="0"/>
    <n v="0"/>
    <n v="0"/>
    <n v="0.28000000000000003"/>
    <n v="0"/>
    <n v="0"/>
    <n v="0"/>
    <n v="0"/>
    <n v="3.091294"/>
    <n v="0"/>
    <n v="0"/>
    <n v="0"/>
    <n v="0"/>
  </r>
  <r>
    <n v="2022"/>
    <x v="22"/>
    <n v="7.98"/>
    <n v="0"/>
    <n v="0"/>
    <n v="0"/>
    <n v="0"/>
    <n v="0.14000000000000001"/>
    <n v="1.4000000000000001"/>
    <n v="0"/>
    <n v="0"/>
    <n v="0"/>
    <n v="0"/>
    <n v="3.1666919999999998"/>
    <n v="0"/>
    <n v="0"/>
    <n v="0"/>
    <n v="0"/>
  </r>
  <r>
    <n v="2022"/>
    <x v="22"/>
    <n v="10.115402"/>
    <n v="0"/>
    <n v="0"/>
    <n v="0"/>
    <n v="0"/>
    <n v="0"/>
    <n v="1.1200000000000001"/>
    <n v="0.27517199999999997"/>
    <n v="0"/>
    <n v="0"/>
    <n v="0"/>
    <n v="8.026173"/>
    <n v="0"/>
    <n v="0"/>
    <n v="0"/>
    <n v="0"/>
  </r>
  <r>
    <n v="2022"/>
    <x v="22"/>
    <n v="82.071362999999991"/>
    <n v="22.642046000000001"/>
    <n v="0"/>
    <n v="0"/>
    <n v="0"/>
    <n v="0"/>
    <n v="17.137045000000001"/>
    <n v="0"/>
    <n v="0"/>
    <n v="0"/>
    <n v="0"/>
    <n v="6.8347959999999999"/>
    <n v="0.27777999999999997"/>
    <n v="23.213362999999998"/>
    <n v="35.037856999999995"/>
    <n v="0"/>
  </r>
  <r>
    <n v="2022"/>
    <x v="22"/>
    <n v="512.11837500000001"/>
    <n v="156.563267"/>
    <n v="0"/>
    <n v="0"/>
    <n v="0"/>
    <n v="0"/>
    <n v="91.818945999999997"/>
    <n v="0"/>
    <n v="0"/>
    <n v="1"/>
    <n v="9"/>
    <n v="165.498974"/>
    <n v="69.541888999999998"/>
    <n v="0"/>
    <n v="190.567857"/>
    <n v="0"/>
  </r>
  <r>
    <n v="2022"/>
    <x v="22"/>
    <n v="413.17115799999999"/>
    <n v="110.75267700000001"/>
    <n v="0"/>
    <n v="0"/>
    <n v="0"/>
    <n v="0"/>
    <n v="71.620690999999994"/>
    <n v="2"/>
    <n v="0"/>
    <n v="2"/>
    <n v="9"/>
    <n v="145.82621499999999"/>
    <n v="58.719822999999998"/>
    <n v="1.8748309999999999"/>
    <n v="120.33791600000001"/>
    <n v="0"/>
  </r>
  <r>
    <n v="2022"/>
    <x v="23"/>
    <n v="104.404774"/>
    <n v="3.7675339999999999"/>
    <n v="0"/>
    <n v="0"/>
    <n v="0"/>
    <n v="0.14000000000000001"/>
    <n v="8.2180749999999989"/>
    <n v="0.67630000000000001"/>
    <n v="0"/>
    <n v="0"/>
    <n v="0.12415"/>
    <n v="49.587671"/>
    <n v="20.611623999999999"/>
    <n v="3.9256569999999997"/>
    <n v="2.012543"/>
    <n v="2.0320299999999998"/>
  </r>
  <r>
    <n v="2022"/>
    <x v="23"/>
    <n v="98.792336999999989"/>
    <n v="5.0557729999999994"/>
    <n v="0"/>
    <n v="0"/>
    <n v="0"/>
    <n v="0.12"/>
    <n v="11.593907999999999"/>
    <n v="0.14752799999999999"/>
    <n v="0"/>
    <n v="0"/>
    <n v="0.38"/>
    <n v="45.176448000000001"/>
    <n v="20.011758"/>
    <n v="3.764319"/>
    <n v="0.42769299999999999"/>
    <n v="2.974456"/>
  </r>
  <r>
    <n v="2022"/>
    <x v="23"/>
    <n v="326.52497"/>
    <n v="49.144044000000001"/>
    <n v="0"/>
    <n v="0"/>
    <n v="0"/>
    <n v="0"/>
    <n v="59.959461999999995"/>
    <n v="1.96"/>
    <n v="0"/>
    <n v="0"/>
    <n v="5.0250000000000004"/>
    <n v="94.780578999999989"/>
    <n v="54.165547999999994"/>
    <n v="5.0155009999999995"/>
    <n v="91.26379399999999"/>
    <n v="2.41744"/>
  </r>
  <r>
    <n v="2022"/>
    <x v="23"/>
    <n v="299.69690200000002"/>
    <n v="75.923268999999991"/>
    <n v="0"/>
    <n v="1"/>
    <n v="0"/>
    <n v="0"/>
    <n v="54.924940999999997"/>
    <n v="3.0232169999999998"/>
    <n v="0"/>
    <n v="1.2386169999999999"/>
    <n v="3.73"/>
    <n v="94.862741"/>
    <n v="56.727305999999999"/>
    <n v="6.7058759999999999"/>
    <n v="64.695521999999997"/>
    <n v="1.2222249999999999"/>
  </r>
  <r>
    <n v="2022"/>
    <x v="23"/>
    <n v="5.8285719999999994"/>
    <n v="0"/>
    <n v="0"/>
    <n v="0"/>
    <n v="0"/>
    <n v="0"/>
    <n v="0.72"/>
    <n v="0"/>
    <n v="0"/>
    <n v="0"/>
    <n v="0.15428600000000001"/>
    <n v="0"/>
    <n v="0"/>
    <n v="0"/>
    <n v="0"/>
    <n v="0"/>
  </r>
  <r>
    <n v="2022"/>
    <x v="23"/>
    <n v="35.51493"/>
    <n v="3.1236009999999998"/>
    <n v="0"/>
    <n v="0"/>
    <n v="0"/>
    <n v="0.2"/>
    <n v="4.0482579999999997"/>
    <n v="0.19523499999999999"/>
    <n v="0"/>
    <n v="9.2878000000000002E-2"/>
    <n v="0.13"/>
    <n v="4.4343079999999997"/>
    <n v="1.1327799999999999"/>
    <n v="4.1614940000000002"/>
    <n v="10.080036999999999"/>
    <n v="0"/>
  </r>
  <r>
    <n v="2022"/>
    <x v="23"/>
    <n v="68.724069"/>
    <n v="3.216631"/>
    <n v="0"/>
    <n v="0.13136999999999999"/>
    <n v="0"/>
    <n v="0"/>
    <n v="7.8840109999999992"/>
    <n v="0.18201699999999998"/>
    <n v="0"/>
    <n v="0.15970000000000001"/>
    <n v="0.360157"/>
    <n v="18.168976999999998"/>
    <n v="1.1651320000000001"/>
    <n v="8.8656849999999991"/>
    <n v="11.237701999999999"/>
    <n v="0"/>
  </r>
  <r>
    <n v="2022"/>
    <x v="24"/>
    <n v="78.049870999999996"/>
    <n v="24.246568"/>
    <n v="0"/>
    <n v="0"/>
    <n v="0"/>
    <n v="0.25"/>
    <n v="11.381898"/>
    <n v="0.4"/>
    <n v="0"/>
    <n v="0.41000000000000003"/>
    <n v="0.27"/>
    <n v="40.574841999999997"/>
    <n v="3.1763919999999999"/>
    <n v="11.984885"/>
    <n v="0.82777899999999993"/>
    <n v="7.9920159999999996"/>
  </r>
  <r>
    <n v="2022"/>
    <x v="24"/>
    <n v="58.390639999999998"/>
    <n v="16.531261000000001"/>
    <n v="0"/>
    <n v="0"/>
    <n v="0"/>
    <n v="0.24474899999999999"/>
    <n v="3.8606509999999998"/>
    <n v="0"/>
    <n v="0"/>
    <n v="0"/>
    <n v="0.54921799999999998"/>
    <n v="10.45031"/>
    <n v="3.3246699999999998"/>
    <n v="6.8841339999999995"/>
    <n v="0.32593"/>
    <n v="14.124051"/>
  </r>
  <r>
    <n v="2022"/>
    <x v="24"/>
    <n v="47.449106"/>
    <n v="9.7706379999999999"/>
    <n v="0"/>
    <n v="0"/>
    <n v="0"/>
    <n v="0.5"/>
    <n v="3.0606529999999998"/>
    <n v="0.26"/>
    <n v="0"/>
    <n v="0"/>
    <n v="0.39"/>
    <n v="3.3092439999999996"/>
    <n v="0.98429199999999994"/>
    <n v="3.5000099999999996"/>
    <n v="0.68148999999999993"/>
    <n v="16.085532999999998"/>
  </r>
  <r>
    <n v="2022"/>
    <x v="24"/>
    <n v="774.23228199999994"/>
    <n v="200.91213099999999"/>
    <n v="0"/>
    <n v="0"/>
    <n v="0"/>
    <n v="0.13"/>
    <n v="170.019239"/>
    <n v="6.1793259999999997"/>
    <n v="0.13"/>
    <n v="0.38"/>
    <n v="12.666573999999999"/>
    <n v="242.67237799999998"/>
    <n v="117.318727"/>
    <n v="38.410171999999996"/>
    <n v="291.03077200000001"/>
    <n v="18.583829999999999"/>
  </r>
  <r>
    <n v="2022"/>
    <x v="24"/>
    <n v="764.32652499999995"/>
    <n v="200.80243899999999"/>
    <n v="0"/>
    <n v="0"/>
    <n v="0"/>
    <n v="0"/>
    <n v="130.21089799999999"/>
    <n v="8.4475990000000003"/>
    <n v="3"/>
    <n v="9.11"/>
    <n v="15.163668999999999"/>
    <n v="241.69573400000002"/>
    <n v="152.07400000000001"/>
    <n v="63.128589999999996"/>
    <n v="187.46650099999999"/>
    <n v="22.834056"/>
  </r>
  <r>
    <n v="2022"/>
    <x v="24"/>
    <n v="353.92721599999999"/>
    <n v="76.729263000000003"/>
    <n v="0"/>
    <n v="0"/>
    <n v="0"/>
    <n v="0"/>
    <n v="83.447519999999997"/>
    <n v="5.443371"/>
    <n v="3.269663"/>
    <n v="0.13"/>
    <n v="10.504832"/>
    <n v="89.595871000000002"/>
    <n v="37.089044000000001"/>
    <n v="1.8359489999999998"/>
    <n v="154.439583"/>
    <n v="15.944557999999999"/>
  </r>
  <r>
    <n v="2022"/>
    <x v="25"/>
    <n v="193.281531"/>
    <n v="193.281531"/>
    <n v="0"/>
    <n v="0"/>
    <n v="0"/>
    <n v="1"/>
    <n v="48.352601"/>
    <n v="0"/>
    <n v="0"/>
    <n v="3.1618499999999998"/>
    <n v="6.085"/>
    <n v="65.986853999999994"/>
    <n v="12.708401"/>
    <n v="5.1424969999999997"/>
    <n v="51.656656999999996"/>
    <n v="0"/>
  </r>
  <r>
    <n v="2022"/>
    <x v="25"/>
    <n v="214.58753899999999"/>
    <n v="214.58753899999999"/>
    <n v="0"/>
    <n v="0"/>
    <n v="0"/>
    <n v="0"/>
    <n v="37.494318999999997"/>
    <n v="1"/>
    <n v="0"/>
    <n v="4.1590910000000001"/>
    <n v="2.4615909999999999"/>
    <n v="79.402652000000003"/>
    <n v="15.936800000000002"/>
    <n v="0"/>
    <n v="82.67183"/>
    <n v="0"/>
  </r>
  <r>
    <n v="2022"/>
    <x v="25"/>
    <n v="35.443182999999998"/>
    <n v="35.443182999999998"/>
    <n v="0"/>
    <n v="0"/>
    <n v="0"/>
    <n v="0"/>
    <n v="25.653409999999997"/>
    <n v="2"/>
    <n v="0.13068199999999999"/>
    <n v="4"/>
    <n v="2"/>
    <n v="13.294181"/>
    <n v="2.4229780000000001"/>
    <n v="0"/>
    <n v="9.9172919999999998"/>
    <n v="0"/>
  </r>
  <r>
    <n v="2022"/>
    <x v="25"/>
    <n v="2.243808"/>
    <n v="0"/>
    <n v="0"/>
    <n v="0"/>
    <n v="0"/>
    <n v="4.7699999999999999E-3"/>
    <n v="0.36"/>
    <n v="0"/>
    <n v="0"/>
    <n v="0.24"/>
    <n v="0.12"/>
    <n v="0"/>
    <n v="0"/>
    <n v="0"/>
    <n v="0"/>
    <n v="0"/>
  </r>
  <r>
    <n v="2022"/>
    <x v="25"/>
    <n v="1.8579159999999999"/>
    <n v="0"/>
    <n v="0"/>
    <n v="0"/>
    <n v="0"/>
    <n v="0"/>
    <n v="0.24"/>
    <n v="0"/>
    <n v="0"/>
    <n v="0"/>
    <n v="0"/>
    <n v="0"/>
    <n v="0"/>
    <n v="0"/>
    <n v="0"/>
    <n v="0"/>
  </r>
  <r>
    <n v="2022"/>
    <x v="26"/>
    <n v="294.04873900000001"/>
    <n v="83.679101000000003"/>
    <n v="0"/>
    <n v="0"/>
    <n v="0"/>
    <n v="0"/>
    <n v="70.370111999999992"/>
    <n v="3.0920229999999997"/>
    <n v="0.5"/>
    <n v="1.5"/>
    <n v="9.3005619999999993"/>
    <n v="75.151788999999994"/>
    <n v="66.723905999999999"/>
    <n v="0"/>
    <n v="80.546965999999998"/>
    <n v="0"/>
  </r>
  <r>
    <n v="2022"/>
    <x v="26"/>
    <n v="381.85624899999999"/>
    <n v="120.663703"/>
    <n v="0"/>
    <n v="0"/>
    <n v="0"/>
    <n v="0"/>
    <n v="82.228961999999996"/>
    <n v="6.3314599999999999"/>
    <n v="0"/>
    <n v="0"/>
    <n v="3.9107859999999999"/>
    <n v="87.908608000000001"/>
    <n v="83.411100000000005"/>
    <n v="0"/>
    <n v="62.058973999999999"/>
    <n v="0"/>
  </r>
  <r>
    <n v="2022"/>
    <x v="27"/>
    <n v="4.1903889999999997"/>
    <n v="1.3208959999999998"/>
    <n v="0"/>
    <n v="0"/>
    <n v="0"/>
    <n v="3.2723999999999996E-2"/>
    <n v="0.52862900000000002"/>
    <n v="0"/>
    <n v="0"/>
    <n v="0"/>
    <n v="7.0000000000000007E-2"/>
    <n v="0"/>
    <n v="0"/>
    <n v="0"/>
    <n v="0"/>
    <n v="0"/>
  </r>
  <r>
    <n v="2022"/>
    <x v="27"/>
    <n v="24.879960000000001"/>
    <n v="9.1943409999999997"/>
    <n v="0"/>
    <n v="0"/>
    <n v="0"/>
    <n v="0.38"/>
    <n v="2.805898"/>
    <n v="5.0678000000000001E-2"/>
    <n v="0.109167"/>
    <n v="0.16158"/>
    <n v="0.16231999999999999"/>
    <n v="2.1660089999999999"/>
    <n v="1.7559749999999998"/>
    <n v="0"/>
    <n v="0.88153300000000001"/>
    <n v="1.34636"/>
  </r>
  <r>
    <n v="2022"/>
    <x v="27"/>
    <n v="36.533896999999996"/>
    <n v="10.822329"/>
    <n v="0"/>
    <n v="0"/>
    <n v="0"/>
    <n v="0.38"/>
    <n v="3.5325949999999997"/>
    <n v="0"/>
    <n v="0"/>
    <n v="0"/>
    <n v="0.11"/>
    <n v="5.7634289999999995"/>
    <n v="1.160679"/>
    <n v="0"/>
    <n v="1.2342789999999999"/>
    <n v="8.5061160000000005"/>
  </r>
  <r>
    <n v="2022"/>
    <x v="27"/>
    <n v="42.782947"/>
    <n v="15.449969999999999"/>
    <n v="0"/>
    <n v="0"/>
    <n v="0"/>
    <n v="0.13"/>
    <n v="5.2738879999999995"/>
    <n v="0.27"/>
    <n v="0"/>
    <n v="0"/>
    <n v="0.85308799999999996"/>
    <n v="10.22303"/>
    <n v="0"/>
    <n v="0"/>
    <n v="0"/>
    <n v="7.8379719999999997"/>
  </r>
  <r>
    <n v="2022"/>
    <x v="27"/>
    <n v="49.891726999999996"/>
    <n v="18.193653999999999"/>
    <n v="0"/>
    <n v="0"/>
    <n v="0"/>
    <n v="0"/>
    <n v="7.2605149999999998"/>
    <n v="0"/>
    <n v="0"/>
    <n v="0.38"/>
    <n v="0.64"/>
    <n v="10.244866"/>
    <n v="0.5"/>
    <n v="0"/>
    <n v="1.670242"/>
    <n v="12.662803"/>
  </r>
  <r>
    <n v="2022"/>
    <x v="27"/>
    <n v="579.50300000000004"/>
    <n v="122.39461900000001"/>
    <n v="0"/>
    <n v="0"/>
    <n v="0"/>
    <n v="0"/>
    <n v="99.525633999999997"/>
    <n v="4.13"/>
    <n v="0"/>
    <n v="2"/>
    <n v="10.986405999999999"/>
    <n v="161.04380499999999"/>
    <n v="94.010236999999989"/>
    <n v="0"/>
    <n v="208.634694"/>
    <n v="3.536"/>
  </r>
  <r>
    <n v="2022"/>
    <x v="27"/>
    <n v="540.55714599999999"/>
    <n v="163.67637400000001"/>
    <n v="0"/>
    <n v="0"/>
    <n v="0"/>
    <n v="0"/>
    <n v="94.790482999999995"/>
    <n v="7.3352489999999992"/>
    <n v="0"/>
    <n v="11"/>
    <n v="9.8751069999999999"/>
    <n v="148.20641599999999"/>
    <n v="92.919682999999992"/>
    <n v="2.986145"/>
    <n v="173.65244999999999"/>
    <n v="7.2201079999999997"/>
  </r>
  <r>
    <n v="2022"/>
    <x v="28"/>
    <n v="1.02"/>
    <n v="0"/>
    <n v="0"/>
    <n v="0"/>
    <n v="0"/>
    <n v="0"/>
    <n v="0"/>
    <n v="0"/>
    <n v="0"/>
    <n v="0"/>
    <n v="0"/>
    <n v="0.318658"/>
    <n v="0"/>
    <n v="0"/>
    <n v="0"/>
    <n v="0"/>
  </r>
  <r>
    <n v="2022"/>
    <x v="28"/>
    <n v="22.748213999999997"/>
    <n v="6.9046379999999994"/>
    <n v="0"/>
    <n v="0"/>
    <n v="0"/>
    <n v="0.12853899999999999"/>
    <n v="2.5339139999999998"/>
    <n v="0"/>
    <n v="9.6628999999999993E-2"/>
    <n v="0.12853899999999999"/>
    <n v="0.119326"/>
    <n v="0.70230700000000001"/>
    <n v="0"/>
    <n v="1.2354749999999999"/>
    <n v="0"/>
    <n v="0"/>
  </r>
  <r>
    <n v="2022"/>
    <x v="28"/>
    <n v="87.574794999999995"/>
    <n v="24.548254"/>
    <n v="0"/>
    <n v="0"/>
    <n v="0"/>
    <n v="0"/>
    <n v="9.261156999999999"/>
    <n v="0.35797799999999996"/>
    <n v="0.24932599999999999"/>
    <n v="0"/>
    <n v="0.52"/>
    <n v="35.764221999999997"/>
    <n v="11.831655"/>
    <n v="9.1192759999999993"/>
    <n v="0"/>
    <n v="2.419746"/>
  </r>
  <r>
    <n v="2022"/>
    <x v="28"/>
    <n v="116.738975"/>
    <n v="32.162179999999999"/>
    <n v="0"/>
    <n v="0"/>
    <n v="0"/>
    <n v="0"/>
    <n v="12.76224"/>
    <n v="0.40845799999999999"/>
    <n v="0"/>
    <n v="0.21"/>
    <n v="0.92276199999999997"/>
    <n v="47.065886999999996"/>
    <n v="15.435556999999999"/>
    <n v="7.5214409999999994"/>
    <n v="1.1174809999999999"/>
    <n v="7.6425039999999997"/>
  </r>
  <r>
    <n v="2022"/>
    <x v="28"/>
    <n v="383.58946000000003"/>
    <n v="156.62253899999999"/>
    <n v="0"/>
    <n v="0"/>
    <n v="0"/>
    <n v="1"/>
    <n v="56.612821999999994"/>
    <n v="3.743134"/>
    <n v="0"/>
    <n v="3"/>
    <n v="4.5876159999999997"/>
    <n v="139.42732699999999"/>
    <n v="60.271566"/>
    <n v="1.0020849999999999"/>
    <n v="146.064942"/>
    <n v="2.921503"/>
  </r>
  <r>
    <n v="2022"/>
    <x v="28"/>
    <n v="358.30794200000003"/>
    <n v="284.53474799999998"/>
    <n v="0"/>
    <n v="1"/>
    <n v="0"/>
    <n v="0"/>
    <n v="51.085509999999999"/>
    <n v="1.8671909999999998"/>
    <n v="0"/>
    <n v="9.842022"/>
    <n v="15.863482999999999"/>
    <n v="106.15769899999999"/>
    <n v="65.505352999999999"/>
    <n v="4.4515190000000002"/>
    <n v="78.245541000000003"/>
    <n v="3.9250629999999997"/>
  </r>
  <r>
    <n v="2022"/>
    <x v="29"/>
    <n v="2.9498579999999999"/>
    <n v="0"/>
    <n v="0"/>
    <n v="0"/>
    <n v="0"/>
    <n v="0"/>
    <n v="0.62"/>
    <n v="0"/>
    <n v="0"/>
    <n v="0.12"/>
    <n v="0.12"/>
    <n v="0"/>
    <n v="0"/>
    <n v="0"/>
    <n v="0"/>
    <n v="0"/>
  </r>
  <r>
    <n v="2022"/>
    <x v="29"/>
    <n v="5.8085290000000001"/>
    <n v="0"/>
    <n v="0"/>
    <n v="0"/>
    <n v="0"/>
    <n v="0.24"/>
    <n v="1.08"/>
    <n v="0"/>
    <n v="0"/>
    <n v="0"/>
    <n v="0"/>
    <n v="1.1111199999999999"/>
    <n v="0"/>
    <n v="0"/>
    <n v="0"/>
    <n v="1.731976"/>
  </r>
  <r>
    <n v="2022"/>
    <x v="29"/>
    <n v="17.951539999999998"/>
    <n v="3.4314899999999997"/>
    <n v="0"/>
    <n v="0"/>
    <n v="0"/>
    <n v="0.65191500000000002"/>
    <n v="0.53688599999999997"/>
    <n v="0"/>
    <n v="0"/>
    <n v="0"/>
    <n v="0.24"/>
    <n v="1.2500099999999998"/>
    <n v="0"/>
    <n v="5.1851799999999999"/>
    <n v="0"/>
    <n v="0.83055299999999999"/>
  </r>
  <r>
    <n v="2022"/>
    <x v="29"/>
    <n v="50.556402999999996"/>
    <n v="2.64"/>
    <n v="0"/>
    <n v="0"/>
    <n v="0"/>
    <n v="0"/>
    <n v="7.2979629999999993"/>
    <n v="0.14000000000000001"/>
    <n v="0.41452699999999998"/>
    <n v="0"/>
    <n v="0"/>
    <n v="24.824572999999997"/>
    <n v="0.5"/>
    <n v="4.6111079999999998"/>
    <n v="0.51077299999999992"/>
    <n v="0"/>
  </r>
  <r>
    <n v="2022"/>
    <x v="29"/>
    <n v="102.67502899999999"/>
    <n v="17.394401999999999"/>
    <n v="0"/>
    <n v="0"/>
    <n v="0"/>
    <n v="0"/>
    <n v="12.94083"/>
    <n v="1"/>
    <n v="0"/>
    <n v="0"/>
    <n v="0.5"/>
    <n v="49.959924000000001"/>
    <n v="28.871516999999997"/>
    <n v="7.0443199999999999"/>
    <n v="7.9999879999999992"/>
    <n v="0"/>
  </r>
  <r>
    <n v="2022"/>
    <x v="29"/>
    <n v="233.72288"/>
    <n v="43.804471999999997"/>
    <n v="0"/>
    <n v="0.5"/>
    <n v="0"/>
    <n v="1.4544629999999998"/>
    <n v="36.903459999999995"/>
    <n v="2.460674"/>
    <n v="0"/>
    <n v="0.5"/>
    <n v="2.3130919999999997"/>
    <n v="122.69310300000001"/>
    <n v="74.766060999999993"/>
    <n v="0.94780699999999996"/>
    <n v="46.519402999999997"/>
    <n v="0"/>
  </r>
  <r>
    <n v="2022"/>
    <x v="29"/>
    <n v="253.40059300000001"/>
    <n v="70.085741999999996"/>
    <n v="0"/>
    <n v="0.5"/>
    <n v="0"/>
    <n v="0.5"/>
    <n v="27.625532999999997"/>
    <n v="0.57750000000000001"/>
    <n v="0"/>
    <n v="1"/>
    <n v="8.6119779999999988"/>
    <n v="116.764594"/>
    <n v="54.601751999999998"/>
    <n v="4.9140220000000001"/>
    <n v="39.741990999999999"/>
    <n v="0"/>
  </r>
  <r>
    <n v="2022"/>
    <x v="30"/>
    <n v="0.24553599999999998"/>
    <n v="0"/>
    <n v="0"/>
    <n v="0"/>
    <n v="0"/>
    <n v="0"/>
    <n v="0"/>
    <n v="0"/>
    <n v="0"/>
    <n v="0"/>
    <n v="0"/>
    <n v="0"/>
    <n v="0"/>
    <n v="0"/>
    <n v="0"/>
    <n v="0"/>
  </r>
  <r>
    <n v="2022"/>
    <x v="30"/>
    <n v="90.324456999999995"/>
    <n v="6.3635999999999999"/>
    <n v="0"/>
    <n v="0"/>
    <n v="0"/>
    <n v="0.54344700000000001"/>
    <n v="5.5179580000000001"/>
    <n v="0.203212"/>
    <n v="0"/>
    <n v="0"/>
    <n v="0.56925300000000001"/>
    <n v="30.604127999999999"/>
    <n v="0"/>
    <n v="0"/>
    <n v="0"/>
    <n v="0"/>
  </r>
  <r>
    <n v="2022"/>
    <x v="30"/>
    <n v="67.896920999999992"/>
    <n v="4.2725910000000002"/>
    <n v="0"/>
    <n v="0"/>
    <n v="0"/>
    <n v="0.3"/>
    <n v="4.371238"/>
    <n v="0"/>
    <n v="0"/>
    <n v="0"/>
    <n v="0.46074699999999996"/>
    <n v="23.60454"/>
    <n v="0"/>
    <n v="0"/>
    <n v="0"/>
    <n v="0"/>
  </r>
  <r>
    <n v="2022"/>
    <x v="30"/>
    <n v="94.264692999999994"/>
    <n v="5.9080019999999998"/>
    <n v="0"/>
    <n v="0"/>
    <n v="0"/>
    <n v="0.61485899999999993"/>
    <n v="5.8968289999999994"/>
    <n v="0.124902"/>
    <n v="0"/>
    <n v="0"/>
    <n v="0.14000000000000001"/>
    <n v="44.172426000000002"/>
    <n v="6.514456"/>
    <n v="0"/>
    <n v="0"/>
    <n v="3.970564"/>
  </r>
  <r>
    <n v="2022"/>
    <x v="30"/>
    <n v="71.358317"/>
    <n v="3.2550789999999998"/>
    <n v="0"/>
    <n v="0"/>
    <n v="0"/>
    <n v="0"/>
    <n v="4.1716280000000001"/>
    <n v="0.28000000000000003"/>
    <n v="0"/>
    <n v="0"/>
    <n v="0.97936299999999998"/>
    <n v="35.118159999999996"/>
    <n v="7.0921519999999996"/>
    <n v="0"/>
    <n v="0"/>
    <n v="1.63456"/>
  </r>
  <r>
    <n v="2022"/>
    <x v="30"/>
    <n v="378.65954199999999"/>
    <n v="14.870801999999999"/>
    <n v="0"/>
    <n v="0"/>
    <n v="0"/>
    <n v="0"/>
    <n v="58.06503"/>
    <n v="5.5"/>
    <n v="0.97014999999999996"/>
    <n v="0"/>
    <n v="3.8209389999999996"/>
    <n v="132.73544100000001"/>
    <n v="48.903444"/>
    <n v="0"/>
    <n v="127.34611100000001"/>
    <n v="5.6297949999999997"/>
  </r>
  <r>
    <n v="2022"/>
    <x v="30"/>
    <n v="430.67281800000001"/>
    <n v="32.23845"/>
    <n v="0"/>
    <n v="5.004677"/>
    <n v="0"/>
    <n v="0"/>
    <n v="71.533475999999993"/>
    <n v="2"/>
    <n v="1.7960199999999999"/>
    <n v="2.42"/>
    <n v="19.209875999999998"/>
    <n v="149.06400199999999"/>
    <n v="53.544765999999996"/>
    <n v="0"/>
    <n v="118.443591"/>
    <n v="5.6319619999999997"/>
  </r>
  <r>
    <n v="2022"/>
    <x v="31"/>
    <n v="3.8056459999999999"/>
    <n v="0"/>
    <n v="0"/>
    <n v="0"/>
    <n v="0"/>
    <n v="0.11"/>
    <n v="0.57686499999999996"/>
    <n v="0.10754799999999999"/>
    <n v="0"/>
    <n v="0"/>
    <n v="0"/>
    <n v="0"/>
    <n v="0"/>
    <n v="0"/>
    <n v="0"/>
    <n v="0"/>
  </r>
  <r>
    <n v="2022"/>
    <x v="31"/>
    <n v="22.891714999999998"/>
    <n v="0"/>
    <n v="0"/>
    <n v="0"/>
    <n v="0"/>
    <n v="0.41860000000000003"/>
    <n v="2.645248"/>
    <n v="2.3452000000000001E-2"/>
    <n v="0"/>
    <n v="0.226548"/>
    <n v="2.3452000000000001E-2"/>
    <n v="10.100489999999999"/>
    <n v="0"/>
    <n v="0"/>
    <n v="1.6"/>
    <n v="0"/>
  </r>
  <r>
    <n v="2022"/>
    <x v="31"/>
    <n v="20.349914999999999"/>
    <n v="0"/>
    <n v="0"/>
    <n v="0"/>
    <n v="0"/>
    <n v="0.14674299999999998"/>
    <n v="2.8123579999999997"/>
    <n v="-0.12071399999999999"/>
    <n v="0"/>
    <n v="0"/>
    <n v="0.32"/>
    <n v="10.823822"/>
    <n v="0"/>
    <n v="0"/>
    <n v="0"/>
    <n v="0"/>
  </r>
  <r>
    <n v="2022"/>
    <x v="31"/>
    <n v="23.570406999999999"/>
    <n v="0"/>
    <n v="0"/>
    <n v="0"/>
    <n v="0"/>
    <n v="0"/>
    <n v="3.301695"/>
    <n v="0.41000000000000003"/>
    <n v="0"/>
    <n v="0.126697"/>
    <n v="0.14000000000000001"/>
    <n v="17.275697000000001"/>
    <n v="0"/>
    <n v="0"/>
    <n v="0"/>
    <n v="0"/>
  </r>
  <r>
    <n v="2022"/>
    <x v="31"/>
    <n v="29.475505999999999"/>
    <n v="0"/>
    <n v="0"/>
    <n v="0"/>
    <n v="0"/>
    <n v="0.58576600000000001"/>
    <n v="2.2958240000000001"/>
    <n v="0.13"/>
    <n v="0"/>
    <n v="0.25333299999999997"/>
    <n v="0.13"/>
    <n v="22.822492999999998"/>
    <n v="0"/>
    <n v="0"/>
    <n v="0"/>
    <n v="0"/>
  </r>
  <r>
    <n v="2022"/>
    <x v="31"/>
    <n v="278.47480000000002"/>
    <n v="262.12804599999998"/>
    <n v="0"/>
    <n v="0"/>
    <n v="0"/>
    <n v="0"/>
    <n v="63.371573999999995"/>
    <n v="0"/>
    <n v="0.28000000000000003"/>
    <n v="1.0406089999999999"/>
    <n v="2.5464469999999997"/>
    <n v="49.128909999999998"/>
    <n v="19.596147999999999"/>
    <n v="0"/>
    <n v="0.92385600000000001"/>
    <n v="0"/>
  </r>
  <r>
    <n v="2022"/>
    <x v="31"/>
    <n v="206.084756"/>
    <n v="195.59502499999999"/>
    <n v="0"/>
    <n v="0"/>
    <n v="0"/>
    <n v="0"/>
    <n v="49.187630999999996"/>
    <n v="1.125375"/>
    <n v="0"/>
    <n v="3.2773569999999999"/>
    <n v="4.1399999999999997"/>
    <n v="33.056632999999998"/>
    <n v="13.803707999999999"/>
    <n v="0"/>
    <n v="3.1111079999999998"/>
    <n v="0"/>
  </r>
  <r>
    <n v="2022"/>
    <x v="32"/>
    <n v="6.189165"/>
    <n v="0"/>
    <n v="0"/>
    <n v="0"/>
    <n v="0"/>
    <n v="0"/>
    <n v="0.14666599999999999"/>
    <n v="0"/>
    <n v="0"/>
    <n v="0"/>
    <n v="0.14000000000000001"/>
    <n v="0"/>
    <n v="0"/>
    <n v="0"/>
    <n v="0"/>
    <n v="0"/>
  </r>
  <r>
    <n v="2022"/>
    <x v="32"/>
    <n v="5.6033330000000001"/>
    <n v="0"/>
    <n v="0"/>
    <n v="0"/>
    <n v="0"/>
    <n v="0"/>
    <n v="0.58416699999999999"/>
    <n v="2.9166999999999998E-2"/>
    <n v="0"/>
    <n v="0"/>
    <n v="0"/>
    <n v="0"/>
    <n v="0"/>
    <n v="0"/>
    <n v="0"/>
    <n v="0"/>
  </r>
  <r>
    <n v="2022"/>
    <x v="32"/>
    <n v="33.405920999999999"/>
    <n v="6.1884920000000001"/>
    <n v="0"/>
    <n v="0"/>
    <n v="0"/>
    <n v="0"/>
    <n v="5.77095"/>
    <n v="0"/>
    <n v="0"/>
    <n v="0"/>
    <n v="0"/>
    <n v="0"/>
    <n v="0"/>
    <n v="2.2919989999999997"/>
    <n v="7.6336699999999995"/>
    <n v="0"/>
  </r>
  <r>
    <n v="2022"/>
    <x v="32"/>
    <n v="305.73918500000002"/>
    <n v="52.714931999999997"/>
    <n v="0"/>
    <n v="6.0949719999999994"/>
    <n v="0"/>
    <n v="0"/>
    <n v="45.004917999999996"/>
    <n v="1"/>
    <n v="0.5"/>
    <n v="2.0726260000000001"/>
    <n v="3.2737430000000001"/>
    <n v="84.643565999999993"/>
    <n v="43.732220999999996"/>
    <n v="0.55555599999999994"/>
    <n v="115.113956"/>
    <n v="0"/>
  </r>
  <r>
    <n v="2022"/>
    <x v="32"/>
    <n v="307.650667"/>
    <n v="109.890154"/>
    <n v="0"/>
    <n v="11"/>
    <n v="0"/>
    <n v="1"/>
    <n v="63.205435999999999"/>
    <n v="0.8"/>
    <n v="2"/>
    <n v="6.1195529999999998"/>
    <n v="1.5"/>
    <n v="86.156182999999999"/>
    <n v="45.705672"/>
    <n v="1.2500009999999999"/>
    <n v="97.782387"/>
    <n v="0"/>
  </r>
  <r>
    <n v="2022"/>
    <x v="32"/>
    <n v="7.295833"/>
    <n v="0"/>
    <n v="0"/>
    <n v="0"/>
    <n v="0"/>
    <n v="0"/>
    <n v="0.42"/>
    <n v="0"/>
    <n v="0"/>
    <n v="0"/>
    <n v="0"/>
    <n v="0"/>
    <n v="0"/>
    <n v="0"/>
    <n v="0"/>
    <n v="0"/>
  </r>
  <r>
    <n v="2022"/>
    <x v="33"/>
    <n v="282.53573799999998"/>
    <n v="282.53573799999998"/>
    <n v="0"/>
    <n v="0"/>
    <n v="0"/>
    <n v="0"/>
    <n v="62.495055999999998"/>
    <n v="1.4044939999999999"/>
    <n v="0"/>
    <n v="2"/>
    <n v="2.408989"/>
    <n v="66.436036000000001"/>
    <n v="50.250951999999998"/>
    <n v="0"/>
    <n v="145.28233499999999"/>
    <n v="0"/>
  </r>
  <r>
    <n v="2022"/>
    <x v="33"/>
    <n v="241.22928300000001"/>
    <n v="241.22928300000001"/>
    <n v="0"/>
    <n v="0"/>
    <n v="0"/>
    <n v="0"/>
    <n v="39.268571999999999"/>
    <n v="3.44"/>
    <n v="0"/>
    <n v="4"/>
    <n v="4.7235000000000005"/>
    <n v="89.26500999999999"/>
    <n v="51.730515999999994"/>
    <n v="0"/>
    <n v="66.323674999999994"/>
    <n v="0"/>
  </r>
  <r>
    <n v="2022"/>
    <x v="34"/>
    <n v="1.0884479999999999"/>
    <n v="0"/>
    <n v="0"/>
    <n v="0"/>
    <n v="0"/>
    <n v="0"/>
    <n v="0"/>
    <n v="0"/>
    <n v="0"/>
    <n v="0"/>
    <n v="0"/>
    <n v="0"/>
    <n v="0.44444799999999995"/>
    <n v="0"/>
    <n v="0.44444799999999995"/>
    <n v="0"/>
  </r>
  <r>
    <n v="2022"/>
    <x v="34"/>
    <n v="0.13605599999999998"/>
    <n v="0"/>
    <n v="0"/>
    <n v="0"/>
    <n v="0"/>
    <n v="0"/>
    <n v="0"/>
    <n v="0"/>
    <n v="0"/>
    <n v="0"/>
    <n v="0"/>
    <n v="0"/>
    <n v="5.5555999999999994E-2"/>
    <n v="0"/>
    <n v="0"/>
    <n v="0"/>
  </r>
  <r>
    <n v="2022"/>
    <x v="34"/>
    <n v="482.95177999999999"/>
    <n v="158.32565099999999"/>
    <n v="0"/>
    <n v="0"/>
    <n v="0"/>
    <n v="1"/>
    <n v="107.71910099999999"/>
    <n v="12.362359999999999"/>
    <n v="1"/>
    <n v="1"/>
    <n v="11.679774999999999"/>
    <n v="135.72511700000001"/>
    <n v="66.871889999999993"/>
    <n v="0"/>
    <n v="221.000766"/>
    <n v="0"/>
  </r>
  <r>
    <n v="2022"/>
    <x v="34"/>
    <n v="401.99615899999998"/>
    <n v="169.65168599999998"/>
    <n v="0"/>
    <n v="0"/>
    <n v="0"/>
    <n v="0"/>
    <n v="85.598213999999999"/>
    <n v="7.960674"/>
    <n v="0"/>
    <n v="10"/>
    <n v="11.977528"/>
    <n v="114.286795"/>
    <n v="64.769106999999991"/>
    <n v="0"/>
    <n v="168.197035"/>
    <n v="0"/>
  </r>
  <r>
    <n v="2022"/>
    <x v="35"/>
    <n v="21.703070999999998"/>
    <n v="0.25146099999999999"/>
    <n v="0"/>
    <n v="0"/>
    <n v="0"/>
    <n v="0"/>
    <n v="3.04"/>
    <n v="0"/>
    <n v="0"/>
    <n v="0"/>
    <n v="0"/>
    <n v="8.7855629999999998"/>
    <n v="1.105494"/>
    <n v="1.5555539999999999"/>
    <n v="0"/>
    <n v="1.7660739999999999"/>
  </r>
  <r>
    <n v="2022"/>
    <x v="35"/>
    <n v="22.867289"/>
    <n v="1.654382"/>
    <n v="0"/>
    <n v="0.5"/>
    <n v="0"/>
    <n v="0"/>
    <n v="6.1475"/>
    <n v="0"/>
    <n v="0"/>
    <n v="0"/>
    <n v="0"/>
    <n v="9.2454959999999993"/>
    <n v="1.1098619999999999"/>
    <n v="3.0681379999999998"/>
    <n v="0.11"/>
    <n v="1.8868119999999999"/>
  </r>
  <r>
    <n v="2022"/>
    <x v="35"/>
    <n v="3.4523599999999997"/>
    <n v="9.2359999999999998E-2"/>
    <n v="0"/>
    <n v="0"/>
    <n v="0"/>
    <n v="0"/>
    <n v="0.49235999999999996"/>
    <n v="0"/>
    <n v="0"/>
    <n v="0"/>
    <n v="0.23235999999999998"/>
    <n v="1.333332"/>
    <n v="0"/>
    <n v="0"/>
    <n v="1.2203000000000002"/>
    <n v="0"/>
  </r>
  <r>
    <n v="2022"/>
    <x v="35"/>
    <n v="457.62136299999997"/>
    <n v="98.826144999999997"/>
    <n v="0"/>
    <n v="8"/>
    <n v="1"/>
    <n v="1"/>
    <n v="102.52050300000001"/>
    <n v="2.139869"/>
    <n v="0"/>
    <n v="5.0502789999999997"/>
    <n v="8.8365960000000001"/>
    <n v="149.56174300000001"/>
    <n v="64.535763000000003"/>
    <n v="6.7831769999999993"/>
    <n v="87.205720999999997"/>
    <n v="1.0707389999999999"/>
  </r>
  <r>
    <n v="2022"/>
    <x v="35"/>
    <n v="434.54729299999997"/>
    <n v="108.566703"/>
    <n v="0"/>
    <n v="4"/>
    <n v="0"/>
    <n v="0"/>
    <n v="96.229607000000001"/>
    <n v="4"/>
    <n v="0"/>
    <n v="4"/>
    <n v="8.154693"/>
    <n v="126.90007199999999"/>
    <n v="58.947406000000001"/>
    <n v="0.60833300000000001"/>
    <n v="154.751666"/>
    <n v="0.94740799999999992"/>
  </r>
  <r>
    <n v="2022"/>
    <x v="36"/>
    <n v="5.091755"/>
    <n v="0"/>
    <n v="0"/>
    <n v="0"/>
    <n v="0"/>
    <n v="0"/>
    <n v="0.55780200000000002"/>
    <n v="0"/>
    <n v="0"/>
    <n v="0"/>
    <n v="0.27522999999999997"/>
    <n v="2.1407419999999999"/>
    <n v="0"/>
    <n v="0"/>
    <n v="0"/>
    <n v="1.25926"/>
  </r>
  <r>
    <n v="2022"/>
    <x v="36"/>
    <n v="5.6446009999999998"/>
    <n v="0"/>
    <n v="0"/>
    <n v="0"/>
    <n v="0"/>
    <n v="0"/>
    <n v="0.13761499999999999"/>
    <n v="0"/>
    <n v="0"/>
    <n v="0.13761499999999999"/>
    <n v="0"/>
    <n v="2.1407419999999999"/>
    <n v="0"/>
    <n v="0"/>
    <n v="0"/>
    <n v="1.4481489999999999"/>
  </r>
  <r>
    <n v="2022"/>
    <x v="36"/>
    <n v="289.66064599999999"/>
    <n v="79.267665999999991"/>
    <n v="0"/>
    <n v="0"/>
    <n v="0"/>
    <n v="0"/>
    <n v="50.997918999999996"/>
    <n v="3"/>
    <n v="0"/>
    <n v="4"/>
    <n v="3"/>
    <n v="90.242786999999993"/>
    <n v="36.841659"/>
    <n v="0"/>
    <n v="136.540077"/>
    <n v="1.4231149999999999"/>
  </r>
  <r>
    <n v="2022"/>
    <x v="36"/>
    <n v="242.912058"/>
    <n v="67.479320000000001"/>
    <n v="0"/>
    <n v="0"/>
    <n v="0"/>
    <n v="1"/>
    <n v="34.474406999999999"/>
    <n v="0.5"/>
    <n v="0"/>
    <n v="0"/>
    <n v="3"/>
    <n v="85.720061000000001"/>
    <n v="25.845385"/>
    <n v="0"/>
    <n v="83.736477999999991"/>
    <n v="0.69259300000000001"/>
  </r>
  <r>
    <n v="2022"/>
    <x v="37"/>
    <n v="244.05676499999998"/>
    <n v="46.862212999999997"/>
    <n v="0"/>
    <n v="0"/>
    <n v="0"/>
    <n v="0"/>
    <n v="49.095765"/>
    <n v="3"/>
    <n v="0"/>
    <n v="1"/>
    <n v="3"/>
    <n v="83.318205999999989"/>
    <n v="30.777749999999997"/>
    <n v="0"/>
    <n v="70.31467099999999"/>
    <n v="0"/>
  </r>
  <r>
    <n v="2022"/>
    <x v="37"/>
    <n v="239.70587599999999"/>
    <n v="91.672095999999996"/>
    <n v="0"/>
    <n v="0"/>
    <n v="0"/>
    <n v="0"/>
    <n v="46.944972"/>
    <n v="0"/>
    <n v="1.5"/>
    <n v="0"/>
    <n v="1.0195529999999999"/>
    <n v="88.684879999999993"/>
    <n v="24.299150999999998"/>
    <n v="0"/>
    <n v="67.983874999999998"/>
    <n v="0"/>
  </r>
  <r>
    <n v="2022"/>
    <x v="38"/>
    <n v="1.24244"/>
    <n v="0"/>
    <n v="0"/>
    <n v="0"/>
    <n v="0"/>
    <n v="0"/>
    <n v="2.878E-2"/>
    <n v="0"/>
    <n v="0"/>
    <n v="0"/>
    <n v="0"/>
    <n v="0.55430999999999997"/>
    <n v="0"/>
    <n v="0"/>
    <n v="0"/>
    <n v="0"/>
  </r>
  <r>
    <n v="2022"/>
    <x v="38"/>
    <n v="3.8417919999999999"/>
    <n v="0"/>
    <n v="0"/>
    <n v="0"/>
    <n v="0"/>
    <n v="0"/>
    <n v="0.31"/>
    <n v="0"/>
    <n v="0"/>
    <n v="0"/>
    <n v="0"/>
    <n v="3.057283"/>
    <n v="0"/>
    <n v="0"/>
    <n v="0"/>
    <n v="0"/>
  </r>
  <r>
    <n v="2022"/>
    <x v="38"/>
    <n v="2.7841199999999997"/>
    <n v="0"/>
    <n v="0"/>
    <n v="0"/>
    <n v="0"/>
    <n v="0"/>
    <n v="0.36"/>
    <n v="0.18411999999999998"/>
    <n v="0"/>
    <n v="0"/>
    <n v="0"/>
    <n v="2.0176780000000001"/>
    <n v="0"/>
    <n v="0"/>
    <n v="0"/>
    <n v="0"/>
  </r>
  <r>
    <n v="2022"/>
    <x v="38"/>
    <n v="395.78433200000001"/>
    <n v="150.49433399999998"/>
    <n v="0"/>
    <n v="3"/>
    <n v="0"/>
    <n v="0"/>
    <n v="77.956479999999999"/>
    <n v="5.3826809999999998"/>
    <n v="1"/>
    <n v="8.3798999999999998E-2"/>
    <n v="7.117318"/>
    <n v="116.882013"/>
    <n v="51.309483"/>
    <n v="0"/>
    <n v="133.16423599999999"/>
    <n v="0"/>
  </r>
  <r>
    <n v="2022"/>
    <x v="38"/>
    <n v="312.10793100000001"/>
    <n v="80.03396699999999"/>
    <n v="0"/>
    <n v="2"/>
    <n v="0"/>
    <n v="0"/>
    <n v="61.800529999999995"/>
    <n v="5.12"/>
    <n v="0"/>
    <n v="3.1340779999999997"/>
    <n v="8.370000000000001"/>
    <n v="87.070340999999999"/>
    <n v="45.226211999999997"/>
    <n v="0"/>
    <n v="83.916417999999993"/>
    <n v="0"/>
  </r>
  <r>
    <n v="2022"/>
    <x v="38"/>
    <n v="0.92390000000000005"/>
    <n v="0"/>
    <n v="0"/>
    <n v="0"/>
    <n v="0"/>
    <n v="0"/>
    <n v="2.878E-2"/>
    <n v="0"/>
    <n v="0"/>
    <n v="0"/>
    <n v="0"/>
    <n v="0.51102199999999998"/>
    <n v="0"/>
    <n v="0"/>
    <n v="0"/>
    <n v="0"/>
  </r>
  <r>
    <n v="2022"/>
    <x v="39"/>
    <n v="293.96821"/>
    <n v="69.733232999999998"/>
    <n v="0"/>
    <n v="0"/>
    <n v="0"/>
    <n v="0"/>
    <n v="74.385651999999993"/>
    <n v="2"/>
    <n v="0"/>
    <n v="1"/>
    <n v="3"/>
    <n v="65.431173000000001"/>
    <n v="42.128178999999996"/>
    <n v="0"/>
    <n v="75.944880999999995"/>
    <n v="0"/>
  </r>
  <r>
    <n v="2022"/>
    <x v="39"/>
    <n v="344.51550299999997"/>
    <n v="102.61821"/>
    <n v="0"/>
    <n v="0"/>
    <n v="0"/>
    <n v="0"/>
    <n v="52.325000000000003"/>
    <n v="5.7784089999999999"/>
    <n v="0"/>
    <n v="1.0284089999999999"/>
    <n v="2.1477269999999997"/>
    <n v="80.034987999999998"/>
    <n v="49.400905999999999"/>
    <n v="0"/>
    <n v="90.840693000000002"/>
    <n v="0"/>
  </r>
  <r>
    <n v="2022"/>
    <x v="39"/>
    <n v="6.9901499999999999"/>
    <n v="3.1571449999999999"/>
    <n v="0"/>
    <n v="0"/>
    <n v="0"/>
    <n v="0"/>
    <n v="1.6460599999999999"/>
    <n v="0"/>
    <n v="0"/>
    <n v="0"/>
    <n v="0"/>
    <n v="3.078516"/>
    <n v="0"/>
    <n v="2.3333309999999998"/>
    <n v="0"/>
    <n v="0"/>
  </r>
  <r>
    <n v="2022"/>
    <x v="39"/>
    <n v="13.214774999999999"/>
    <n v="7.8217629999999998"/>
    <n v="0"/>
    <n v="0"/>
    <n v="0"/>
    <n v="0"/>
    <n v="0"/>
    <n v="0"/>
    <n v="0"/>
    <n v="0"/>
    <n v="0"/>
    <n v="3.5238319999999996"/>
    <n v="0"/>
    <n v="7.0000019999999994"/>
    <n v="0"/>
    <n v="0"/>
  </r>
  <r>
    <n v="2022"/>
    <x v="40"/>
    <n v="7.7997909999999999"/>
    <n v="0"/>
    <n v="0"/>
    <n v="0"/>
    <n v="0"/>
    <n v="0"/>
    <n v="1.6992149999999999"/>
    <n v="0"/>
    <n v="0"/>
    <n v="0"/>
    <n v="0"/>
    <n v="7.8870009999999997"/>
    <n v="0"/>
    <n v="0"/>
    <n v="0"/>
    <n v="0"/>
  </r>
  <r>
    <n v="2022"/>
    <x v="40"/>
    <n v="208.26978299999999"/>
    <n v="29.592921999999998"/>
    <n v="0"/>
    <n v="0"/>
    <n v="0"/>
    <n v="0"/>
    <n v="35.416083"/>
    <n v="0.20786499999999999"/>
    <n v="1"/>
    <n v="0"/>
    <n v="1.7295829999999999"/>
    <n v="47.305031"/>
    <n v="44.595244000000001"/>
    <n v="0"/>
    <n v="67.632047"/>
    <n v="0"/>
  </r>
  <r>
    <n v="2022"/>
    <x v="40"/>
    <n v="180.286731"/>
    <n v="61.621685999999997"/>
    <n v="0"/>
    <n v="0"/>
    <n v="0"/>
    <n v="0"/>
    <n v="43.768540000000002"/>
    <n v="2.809E-2"/>
    <n v="1"/>
    <n v="0"/>
    <n v="1.241573"/>
    <n v="46.210723999999999"/>
    <n v="31.900319999999997"/>
    <n v="0"/>
    <n v="54.604115999999998"/>
    <n v="0"/>
  </r>
  <r>
    <n v="2022"/>
    <x v="40"/>
    <n v="9.6306739999999991"/>
    <n v="0"/>
    <n v="0"/>
    <n v="0"/>
    <n v="0"/>
    <n v="0"/>
    <n v="1.1612039999999999"/>
    <n v="0"/>
    <n v="0"/>
    <n v="0.12753899999999999"/>
    <n v="0"/>
    <n v="5.1773549999999995"/>
    <n v="0"/>
    <n v="0"/>
    <n v="0"/>
    <n v="0"/>
  </r>
  <r>
    <n v="2022"/>
    <x v="40"/>
    <n v="1.6500000000000001"/>
    <n v="0"/>
    <n v="0"/>
    <n v="0"/>
    <n v="0"/>
    <n v="0"/>
    <n v="0.11"/>
    <n v="0"/>
    <n v="0"/>
    <n v="0"/>
    <n v="0"/>
    <n v="0.83333999999999997"/>
    <n v="0"/>
    <n v="0"/>
    <n v="0"/>
    <n v="0"/>
  </r>
  <r>
    <n v="2022"/>
    <x v="40"/>
    <n v="38.785288000000001"/>
    <n v="8.11"/>
    <n v="0"/>
    <n v="0"/>
    <n v="0"/>
    <n v="0"/>
    <n v="17.292932"/>
    <n v="1"/>
    <n v="0"/>
    <n v="0"/>
    <n v="1"/>
    <n v="7.451422"/>
    <n v="0"/>
    <n v="5.9773829999999997"/>
    <n v="12.353156999999999"/>
    <n v="0"/>
  </r>
  <r>
    <n v="2022"/>
    <x v="41"/>
    <n v="7.3612339999999996"/>
    <n v="7.3612339999999996"/>
    <n v="0"/>
    <n v="0"/>
    <n v="0"/>
    <n v="0"/>
    <n v="0.30365599999999998"/>
    <n v="0"/>
    <n v="0"/>
    <n v="1.0972279999999999"/>
    <n v="0"/>
    <n v="5.3086039999999999"/>
    <n v="0"/>
    <n v="0"/>
    <n v="0"/>
    <n v="0"/>
  </r>
  <r>
    <n v="2022"/>
    <x v="41"/>
    <n v="8.0636559999999999"/>
    <n v="8.0636559999999999"/>
    <n v="0"/>
    <n v="0"/>
    <n v="0"/>
    <n v="0"/>
    <n v="0.91"/>
    <n v="0"/>
    <n v="0.13"/>
    <n v="0"/>
    <n v="0"/>
    <n v="2.6634509999999998"/>
    <n v="0"/>
    <n v="0"/>
    <n v="3.317936"/>
    <n v="0"/>
  </r>
  <r>
    <n v="2022"/>
    <x v="41"/>
    <n v="52.575890000000001"/>
    <n v="51.220306000000001"/>
    <n v="0"/>
    <n v="0"/>
    <n v="0"/>
    <n v="0"/>
    <n v="2.7739099999999999"/>
    <n v="0"/>
    <n v="0"/>
    <n v="2.3637189999999997"/>
    <n v="2.3715169999999999"/>
    <n v="19.673254"/>
    <n v="1.8163019999999999"/>
    <n v="0"/>
    <n v="0.44444799999999995"/>
    <n v="0"/>
  </r>
  <r>
    <n v="2022"/>
    <x v="41"/>
    <n v="68.789306999999994"/>
    <n v="62.723616999999997"/>
    <n v="0"/>
    <n v="0"/>
    <n v="0"/>
    <n v="0"/>
    <n v="7.2866419999999996"/>
    <n v="0.12480000000000001"/>
    <n v="0.13"/>
    <n v="3"/>
    <n v="2.2518979999999997"/>
    <n v="22.509301999999998"/>
    <n v="4.9645019999999995"/>
    <n v="1.96899"/>
    <n v="3.0586599999999997"/>
    <n v="0"/>
  </r>
  <r>
    <n v="2022"/>
    <x v="41"/>
    <n v="262.55592300000001"/>
    <n v="259.291967"/>
    <n v="0"/>
    <n v="0"/>
    <n v="0"/>
    <n v="0.97209299999999998"/>
    <n v="46.208492999999997"/>
    <n v="5.0893030000000001"/>
    <n v="0"/>
    <n v="6.3876719999999994"/>
    <n v="6"/>
    <n v="76.439290999999997"/>
    <n v="46.991645999999996"/>
    <n v="0"/>
    <n v="30.572706"/>
    <n v="0"/>
  </r>
  <r>
    <n v="2022"/>
    <x v="41"/>
    <n v="218.535529"/>
    <n v="208.47461999999999"/>
    <n v="0"/>
    <n v="0"/>
    <n v="0"/>
    <n v="0"/>
    <n v="27.793378999999998"/>
    <n v="0.22418399999999999"/>
    <n v="0"/>
    <n v="5.7683710000000001"/>
    <n v="7.13"/>
    <n v="75.828048999999993"/>
    <n v="27.355936999999997"/>
    <n v="0"/>
    <n v="26.737641"/>
    <n v="0"/>
  </r>
  <r>
    <n v="2022"/>
    <x v="42"/>
    <n v="554.31671800000004"/>
    <n v="136.66444999999999"/>
    <n v="0.14000000000000001"/>
    <n v="0"/>
    <n v="0"/>
    <n v="0"/>
    <n v="87.665015999999994"/>
    <n v="2.0828609999999999"/>
    <n v="0"/>
    <n v="4.3685399999999994"/>
    <n v="8.0299999999999994"/>
    <n v="199.718875"/>
    <n v="70.916292999999996"/>
    <n v="5.3832699999999996"/>
    <n v="195.047932"/>
    <n v="6.5415649999999994"/>
  </r>
  <r>
    <n v="2022"/>
    <x v="42"/>
    <n v="85.273612999999997"/>
    <n v="26.423133"/>
    <n v="0"/>
    <n v="0"/>
    <n v="0"/>
    <n v="0"/>
    <n v="12.652555"/>
    <n v="0"/>
    <n v="0.25"/>
    <n v="0"/>
    <n v="0.81"/>
    <n v="34.318121999999995"/>
    <n v="0"/>
    <n v="0.78888899999999995"/>
    <n v="0.55555500000000002"/>
    <n v="18.590764"/>
  </r>
  <r>
    <n v="2022"/>
    <x v="42"/>
    <n v="92.18481899999999"/>
    <n v="29.545779"/>
    <n v="0"/>
    <n v="0"/>
    <n v="0"/>
    <n v="0"/>
    <n v="13.162100000000001"/>
    <n v="0.28000000000000003"/>
    <n v="0"/>
    <n v="0.14000000000000001"/>
    <n v="0.56000000000000005"/>
    <n v="32.580371999999997"/>
    <n v="0"/>
    <n v="0"/>
    <n v="0"/>
    <n v="24.837750999999997"/>
  </r>
  <r>
    <n v="2022"/>
    <x v="42"/>
    <n v="53.478476999999998"/>
    <n v="27.092703999999998"/>
    <n v="0"/>
    <n v="0"/>
    <n v="0"/>
    <n v="3.5324000000000001E-2"/>
    <n v="5.9332259999999994"/>
    <n v="0.34"/>
    <n v="0.28000000000000003"/>
    <n v="0.28145999999999999"/>
    <n v="0.44942299999999996"/>
    <n v="12.971522999999999"/>
    <n v="0"/>
    <n v="7.1742369999999998"/>
    <n v="5.4389289999999999"/>
    <n v="4.7767629999999999"/>
  </r>
  <r>
    <n v="2022"/>
    <x v="42"/>
    <n v="66.419647999999995"/>
    <n v="10.374238999999999"/>
    <n v="0"/>
    <n v="0"/>
    <n v="0"/>
    <n v="0.135492"/>
    <n v="5.6217920000000001"/>
    <n v="0.31750600000000001"/>
    <n v="0"/>
    <n v="0.23"/>
    <n v="0.23"/>
    <n v="14.687128"/>
    <n v="0"/>
    <n v="0"/>
    <n v="4.479069"/>
    <n v="11.739352999999999"/>
  </r>
  <r>
    <n v="2022"/>
    <x v="42"/>
    <n v="531.75311199999999"/>
    <n v="93.854992999999993"/>
    <n v="0"/>
    <n v="0"/>
    <n v="0"/>
    <n v="0"/>
    <n v="89.121401999999989"/>
    <n v="2.9567239999999999"/>
    <n v="0"/>
    <n v="10"/>
    <n v="11.652944"/>
    <n v="165.35405500000002"/>
    <n v="63.856771999999999"/>
    <n v="23.872709999999998"/>
    <n v="143.363"/>
    <n v="9.122897"/>
  </r>
  <r>
    <n v="2022"/>
    <x v="43"/>
    <n v="175.344043"/>
    <n v="66.261628000000002"/>
    <n v="0"/>
    <n v="0"/>
    <n v="0"/>
    <n v="0.98837199999999992"/>
    <n v="36.41583"/>
    <n v="2"/>
    <n v="0"/>
    <n v="0.5"/>
    <n v="3"/>
    <n v="48.674811999999996"/>
    <n v="25.274559999999997"/>
    <n v="0"/>
    <n v="37.590413999999996"/>
    <n v="0"/>
  </r>
  <r>
    <n v="2022"/>
    <x v="43"/>
    <n v="16.445276"/>
    <n v="0"/>
    <n v="0"/>
    <n v="0"/>
    <n v="0"/>
    <n v="0.19516999999999998"/>
    <n v="2.2335609999999999"/>
    <n v="2.2158999999999998E-2"/>
    <n v="0"/>
    <n v="0.15"/>
    <n v="0"/>
    <n v="0"/>
    <n v="0"/>
    <n v="0"/>
    <n v="0"/>
    <n v="0"/>
  </r>
  <r>
    <n v="2022"/>
    <x v="43"/>
    <n v="16.334174999999998"/>
    <n v="0"/>
    <n v="0"/>
    <n v="0"/>
    <n v="0"/>
    <n v="0.242093"/>
    <n v="0.94185599999999992"/>
    <n v="0.15"/>
    <n v="9.2092999999999994E-2"/>
    <n v="0"/>
    <n v="0"/>
    <n v="6.2665099999999994"/>
    <n v="0"/>
    <n v="0"/>
    <n v="0"/>
    <n v="0"/>
  </r>
  <r>
    <n v="2022"/>
    <x v="43"/>
    <n v="16.932907"/>
    <n v="0"/>
    <n v="0"/>
    <n v="0"/>
    <n v="0"/>
    <n v="0"/>
    <n v="2.8220929999999997"/>
    <n v="0"/>
    <n v="0"/>
    <n v="0"/>
    <n v="0.15"/>
    <n v="6.5785830000000001"/>
    <n v="0"/>
    <n v="0"/>
    <n v="0"/>
    <n v="0"/>
  </r>
  <r>
    <n v="2022"/>
    <x v="43"/>
    <n v="1.5"/>
    <n v="0"/>
    <n v="0"/>
    <n v="0"/>
    <n v="0"/>
    <n v="0"/>
    <n v="0"/>
    <n v="0"/>
    <n v="0"/>
    <n v="0"/>
    <n v="0"/>
    <n v="0.41666599999999998"/>
    <n v="0.41666599999999998"/>
    <n v="0"/>
    <n v="0.41666599999999998"/>
    <n v="0"/>
  </r>
  <r>
    <n v="2022"/>
    <x v="43"/>
    <n v="1"/>
    <n v="0"/>
    <n v="0"/>
    <n v="0"/>
    <n v="0"/>
    <n v="0"/>
    <n v="1"/>
    <n v="0"/>
    <n v="0"/>
    <n v="0"/>
    <n v="0"/>
    <n v="0.41666599999999998"/>
    <n v="0"/>
    <n v="0"/>
    <n v="0.23518499999999998"/>
    <n v="0"/>
  </r>
  <r>
    <n v="2022"/>
    <x v="43"/>
    <n v="186.50934999999998"/>
    <n v="41.346590999999997"/>
    <n v="0"/>
    <n v="0"/>
    <n v="0"/>
    <n v="0"/>
    <n v="33.423296999999998"/>
    <n v="2"/>
    <n v="1"/>
    <n v="0"/>
    <n v="1.8863639999999999"/>
    <n v="51.011590999999996"/>
    <n v="25.734209999999997"/>
    <n v="0"/>
    <n v="69.796202999999991"/>
    <n v="0"/>
  </r>
  <r>
    <n v="2022"/>
    <x v="44"/>
    <n v="182.05852999999999"/>
    <n v="43.129761999999999"/>
    <n v="0"/>
    <n v="0"/>
    <n v="0"/>
    <n v="0"/>
    <n v="26.705952"/>
    <n v="0.4"/>
    <n v="0"/>
    <n v="0"/>
    <n v="3.4"/>
    <n v="37.130000000000003"/>
    <n v="66.790947000000003"/>
    <n v="0"/>
    <n v="0"/>
    <n v="0"/>
  </r>
  <r>
    <n v="2022"/>
    <x v="44"/>
    <n v="187.23101199999999"/>
    <n v="54.227618999999997"/>
    <n v="0"/>
    <n v="0"/>
    <n v="0"/>
    <n v="0"/>
    <n v="11.380953999999999"/>
    <n v="1"/>
    <n v="0"/>
    <n v="1"/>
    <n v="1"/>
    <n v="56.637127999999997"/>
    <n v="56.825983999999998"/>
    <n v="0"/>
    <n v="0"/>
    <n v="0"/>
  </r>
  <r>
    <n v="2022"/>
    <x v="45"/>
    <n v="0"/>
    <n v="0"/>
    <n v="0"/>
    <n v="0"/>
    <n v="0"/>
    <n v="0"/>
    <n v="0"/>
    <n v="0"/>
    <n v="0"/>
    <n v="0"/>
    <n v="0"/>
    <n v="0"/>
    <n v="0"/>
    <n v="0"/>
    <n v="0"/>
    <n v="0"/>
  </r>
  <r>
    <n v="2022"/>
    <x v="45"/>
    <n v="17.993109999999998"/>
    <n v="0"/>
    <n v="0"/>
    <n v="0"/>
    <n v="0"/>
    <n v="0.1"/>
    <n v="1.775706"/>
    <n v="2.6445999999999997E-2"/>
    <n v="0"/>
    <n v="0"/>
    <n v="8.4960999999999995E-2"/>
    <n v="0"/>
    <n v="0"/>
    <n v="0"/>
    <n v="0"/>
    <n v="0"/>
  </r>
  <r>
    <n v="2022"/>
    <x v="45"/>
    <n v="30.634020999999997"/>
    <n v="0.70000000000000007"/>
    <n v="0"/>
    <n v="0"/>
    <n v="0"/>
    <n v="0"/>
    <n v="4.3719929999999998"/>
    <n v="4.9249999999999997E-3"/>
    <n v="0"/>
    <n v="0"/>
    <n v="0"/>
    <n v="23.040450999999997"/>
    <n v="0"/>
    <n v="0"/>
    <n v="1.705657"/>
    <n v="0"/>
  </r>
  <r>
    <n v="2022"/>
    <x v="45"/>
    <n v="27.235523999999998"/>
    <n v="0.14000000000000001"/>
    <n v="0"/>
    <n v="0"/>
    <n v="0"/>
    <n v="2.5815999999999999E-2"/>
    <n v="1.493781"/>
    <n v="0.17157"/>
    <n v="0"/>
    <n v="0"/>
    <n v="0.3"/>
    <n v="10.537137999999999"/>
    <n v="0"/>
    <n v="0"/>
    <n v="4.0017759999999996"/>
    <n v="0"/>
  </r>
  <r>
    <n v="2022"/>
    <x v="45"/>
    <n v="11.796249999999999"/>
    <n v="0.14000000000000001"/>
    <n v="0"/>
    <n v="0"/>
    <n v="0"/>
    <n v="0"/>
    <n v="0.3"/>
    <n v="0"/>
    <n v="0"/>
    <n v="0"/>
    <n v="0.14000000000000001"/>
    <n v="7.4276109999999997"/>
    <n v="0.33333299999999999"/>
    <n v="0"/>
    <n v="0.38889199999999996"/>
    <n v="0"/>
  </r>
  <r>
    <n v="2022"/>
    <x v="45"/>
    <n v="31.980936"/>
    <n v="2.5806779999999998"/>
    <n v="0"/>
    <n v="0"/>
    <n v="0"/>
    <n v="0"/>
    <n v="3.2438020000000001"/>
    <n v="1.556271"/>
    <n v="0"/>
    <n v="0"/>
    <n v="0"/>
    <n v="9.7589069999999989"/>
    <n v="2.2888869999999999"/>
    <n v="1.96444"/>
    <n v="2.384131"/>
    <n v="0"/>
  </r>
  <r>
    <n v="2022"/>
    <x v="45"/>
    <n v="355.25040999999999"/>
    <n v="35.783023999999997"/>
    <n v="0"/>
    <n v="11.758303999999999"/>
    <n v="0"/>
    <n v="0"/>
    <n v="72.577490999999995"/>
    <n v="3.9443409999999997"/>
    <n v="0"/>
    <n v="0.56000000000000005"/>
    <n v="15.033581"/>
    <n v="97.102080999999998"/>
    <n v="76.657307000000003"/>
    <n v="1.205962"/>
    <n v="133.216523"/>
    <n v="0"/>
  </r>
  <r>
    <n v="2022"/>
    <x v="45"/>
    <n v="348.99725999999998"/>
    <n v="56.769929999999995"/>
    <n v="0"/>
    <n v="7.6698399999999998"/>
    <n v="0"/>
    <n v="1"/>
    <n v="72.629153000000002"/>
    <n v="3.5"/>
    <n v="0"/>
    <n v="1.0055969999999999"/>
    <n v="15.071264999999999"/>
    <n v="101.219099"/>
    <n v="78.157640000000001"/>
    <n v="2.319782"/>
    <n v="97.544044"/>
    <n v="0"/>
  </r>
  <r>
    <n v="2022"/>
    <x v="46"/>
    <n v="111.14984200000001"/>
    <n v="52.995699999999999"/>
    <n v="0.5"/>
    <n v="0"/>
    <n v="0"/>
    <n v="0"/>
    <n v="29"/>
    <n v="1.046243"/>
    <n v="0"/>
    <n v="3"/>
    <n v="5"/>
    <n v="32.734983"/>
    <n v="13.297739999999999"/>
    <n v="0"/>
    <n v="30.266648999999997"/>
    <n v="0"/>
  </r>
  <r>
    <n v="2022"/>
    <x v="46"/>
    <n v="115.099046"/>
    <n v="44.556500999999997"/>
    <n v="0"/>
    <n v="0"/>
    <n v="0"/>
    <n v="0"/>
    <n v="22.233470999999998"/>
    <n v="0"/>
    <n v="0.5"/>
    <n v="2"/>
    <n v="3"/>
    <n v="35.979821000000001"/>
    <n v="15.040633"/>
    <n v="0"/>
    <n v="35.238306000000001"/>
    <n v="0"/>
  </r>
  <r>
    <n v="2022"/>
    <x v="47"/>
    <n v="22.81889"/>
    <n v="5"/>
    <n v="0"/>
    <n v="0"/>
    <n v="0"/>
    <n v="0"/>
    <n v="9.0277779999999996"/>
    <n v="2"/>
    <n v="0"/>
    <n v="0"/>
    <n v="0"/>
    <n v="7.958888"/>
    <n v="0"/>
    <n v="0"/>
    <n v="7.0361929999999999"/>
    <n v="0"/>
  </r>
  <r>
    <n v="2022"/>
    <x v="47"/>
    <n v="277.77510899999999"/>
    <n v="56.606665999999997"/>
    <n v="0"/>
    <n v="0"/>
    <n v="0"/>
    <n v="0"/>
    <n v="48.195108999999995"/>
    <n v="1"/>
    <n v="0"/>
    <n v="3.3000000000000003"/>
    <n v="6.3500000000000005"/>
    <n v="86.648155000000003"/>
    <n v="46.395328999999997"/>
    <n v="0"/>
    <n v="87.801411999999999"/>
    <n v="0"/>
  </r>
  <r>
    <n v="2022"/>
    <x v="47"/>
    <n v="245.151445"/>
    <n v="78.177776999999992"/>
    <n v="0"/>
    <n v="0"/>
    <n v="0"/>
    <n v="0"/>
    <n v="52.333110999999995"/>
    <n v="2"/>
    <n v="0"/>
    <n v="2.4300000000000002"/>
    <n v="5.57"/>
    <n v="72.066818999999995"/>
    <n v="36.337890999999999"/>
    <n v="0"/>
    <n v="79.508195999999998"/>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88">
  <r>
    <x v="0"/>
    <n v="4300790.18"/>
    <n v="0"/>
    <x v="0"/>
    <n v="0"/>
    <n v="0"/>
    <n v="0"/>
    <n v="0"/>
    <n v="0"/>
    <n v="4300790.18"/>
    <n v="0"/>
    <n v="0"/>
    <n v="0"/>
    <n v="0"/>
    <n v="0"/>
    <n v="0"/>
  </r>
  <r>
    <x v="0"/>
    <n v="0"/>
    <n v="178069.29"/>
    <x v="0"/>
    <n v="0"/>
    <n v="0"/>
    <n v="0"/>
    <n v="0"/>
    <n v="0"/>
    <n v="178069.29"/>
    <n v="0"/>
    <n v="0"/>
    <n v="0"/>
    <n v="0"/>
    <n v="0"/>
    <n v="0"/>
  </r>
  <r>
    <x v="0"/>
    <n v="0"/>
    <n v="0"/>
    <x v="1"/>
    <n v="0"/>
    <n v="0"/>
    <n v="0"/>
    <n v="0"/>
    <n v="0"/>
    <n v="725490.37"/>
    <n v="0"/>
    <n v="0"/>
    <n v="0"/>
    <n v="0"/>
    <n v="0"/>
    <n v="0"/>
  </r>
  <r>
    <x v="0"/>
    <n v="0"/>
    <n v="0"/>
    <x v="0"/>
    <n v="62212.41"/>
    <n v="0"/>
    <n v="0"/>
    <n v="0"/>
    <n v="0"/>
    <n v="62212.41"/>
    <n v="0"/>
    <n v="0"/>
    <n v="0"/>
    <n v="0"/>
    <n v="0"/>
    <n v="0"/>
  </r>
  <r>
    <x v="0"/>
    <n v="0"/>
    <n v="0"/>
    <x v="0"/>
    <n v="0"/>
    <n v="215.54"/>
    <n v="0"/>
    <n v="0"/>
    <n v="0"/>
    <n v="215.54"/>
    <n v="0"/>
    <n v="0"/>
    <n v="0"/>
    <n v="0"/>
    <n v="0"/>
    <n v="0"/>
  </r>
  <r>
    <x v="0"/>
    <n v="0"/>
    <n v="0"/>
    <x v="0"/>
    <n v="0"/>
    <n v="0"/>
    <n v="2228403.7200000002"/>
    <n v="0"/>
    <n v="0"/>
    <n v="2228403.7200000002"/>
    <n v="0"/>
    <n v="0"/>
    <n v="0"/>
    <n v="0"/>
    <n v="0"/>
    <n v="0"/>
  </r>
  <r>
    <x v="0"/>
    <n v="0"/>
    <n v="0"/>
    <x v="0"/>
    <n v="0"/>
    <n v="0"/>
    <n v="0"/>
    <n v="0"/>
    <n v="0"/>
    <n v="0"/>
    <n v="0"/>
    <n v="0"/>
    <n v="0"/>
    <n v="0"/>
    <n v="0"/>
    <n v="0"/>
  </r>
  <r>
    <x v="0"/>
    <n v="0"/>
    <n v="0"/>
    <x v="0"/>
    <n v="0"/>
    <n v="0"/>
    <n v="0"/>
    <n v="0"/>
    <n v="0"/>
    <n v="0"/>
    <n v="0"/>
    <n v="0"/>
    <n v="0"/>
    <n v="0"/>
    <n v="0"/>
    <n v="0"/>
  </r>
  <r>
    <x v="0"/>
    <n v="0"/>
    <n v="0"/>
    <x v="0"/>
    <n v="0"/>
    <n v="0"/>
    <n v="0"/>
    <n v="0"/>
    <n v="0"/>
    <n v="0"/>
    <n v="0"/>
    <n v="0"/>
    <n v="0"/>
    <n v="0"/>
    <n v="0"/>
    <n v="0"/>
  </r>
  <r>
    <x v="0"/>
    <n v="0"/>
    <n v="0"/>
    <x v="0"/>
    <n v="0"/>
    <n v="0"/>
    <n v="0"/>
    <n v="0"/>
    <n v="0"/>
    <n v="0"/>
    <n v="0"/>
    <n v="17185.46"/>
    <n v="0"/>
    <n v="0"/>
    <n v="0"/>
    <n v="17185.46"/>
  </r>
  <r>
    <x v="0"/>
    <n v="0"/>
    <n v="0"/>
    <x v="0"/>
    <n v="0"/>
    <n v="0"/>
    <n v="0"/>
    <n v="0"/>
    <n v="0"/>
    <n v="0"/>
    <n v="0"/>
    <n v="0"/>
    <n v="36666.51"/>
    <n v="0"/>
    <n v="0"/>
    <n v="36666.51"/>
  </r>
  <r>
    <x v="0"/>
    <n v="0"/>
    <n v="0"/>
    <x v="0"/>
    <n v="0"/>
    <n v="0"/>
    <n v="0"/>
    <n v="0"/>
    <n v="0"/>
    <n v="0"/>
    <n v="0"/>
    <n v="0"/>
    <n v="0"/>
    <n v="0"/>
    <n v="-67689.91"/>
    <n v="-67689.91"/>
  </r>
  <r>
    <x v="1"/>
    <n v="2663509.42"/>
    <n v="0"/>
    <x v="0"/>
    <n v="0"/>
    <n v="0"/>
    <n v="0"/>
    <n v="0"/>
    <n v="0"/>
    <n v="2663509.42"/>
    <n v="0"/>
    <n v="0"/>
    <n v="0"/>
    <n v="0"/>
    <n v="0"/>
    <n v="0"/>
  </r>
  <r>
    <x v="1"/>
    <n v="0"/>
    <n v="101021.16"/>
    <x v="0"/>
    <n v="0"/>
    <n v="0"/>
    <n v="0"/>
    <n v="0"/>
    <n v="0"/>
    <n v="101021.16"/>
    <n v="0"/>
    <n v="0"/>
    <n v="0"/>
    <n v="0"/>
    <n v="0"/>
    <n v="0"/>
  </r>
  <r>
    <x v="1"/>
    <n v="0"/>
    <n v="0"/>
    <x v="2"/>
    <n v="0"/>
    <n v="0"/>
    <n v="0"/>
    <n v="0"/>
    <n v="0"/>
    <n v="407916"/>
    <n v="0"/>
    <n v="0"/>
    <n v="0"/>
    <n v="0"/>
    <n v="0"/>
    <n v="0"/>
  </r>
  <r>
    <x v="1"/>
    <n v="0"/>
    <n v="0"/>
    <x v="0"/>
    <n v="48419.48"/>
    <n v="0"/>
    <n v="0"/>
    <n v="0"/>
    <n v="0"/>
    <n v="48419.48"/>
    <n v="0"/>
    <n v="0"/>
    <n v="0"/>
    <n v="0"/>
    <n v="0"/>
    <n v="0"/>
  </r>
  <r>
    <x v="1"/>
    <n v="0"/>
    <n v="0"/>
    <x v="0"/>
    <n v="0"/>
    <n v="0"/>
    <n v="0"/>
    <n v="0"/>
    <n v="0"/>
    <n v="0"/>
    <n v="0"/>
    <n v="0"/>
    <n v="0"/>
    <n v="0"/>
    <n v="0"/>
    <n v="0"/>
  </r>
  <r>
    <x v="1"/>
    <n v="0"/>
    <n v="0"/>
    <x v="0"/>
    <n v="0"/>
    <n v="0"/>
    <n v="1511912.75"/>
    <n v="0"/>
    <n v="0"/>
    <n v="1511912.75"/>
    <n v="0"/>
    <n v="0"/>
    <n v="0"/>
    <n v="0"/>
    <n v="0"/>
    <n v="0"/>
  </r>
  <r>
    <x v="1"/>
    <n v="0"/>
    <n v="0"/>
    <x v="0"/>
    <n v="0"/>
    <n v="0"/>
    <n v="0"/>
    <n v="0"/>
    <n v="0"/>
    <n v="0"/>
    <n v="0"/>
    <n v="0"/>
    <n v="0"/>
    <n v="0"/>
    <n v="0"/>
    <n v="0"/>
  </r>
  <r>
    <x v="1"/>
    <n v="0"/>
    <n v="0"/>
    <x v="0"/>
    <n v="0"/>
    <n v="0"/>
    <n v="0"/>
    <n v="0"/>
    <n v="0"/>
    <n v="0"/>
    <n v="0"/>
    <n v="0"/>
    <n v="0"/>
    <n v="0"/>
    <n v="0"/>
    <n v="0"/>
  </r>
  <r>
    <x v="1"/>
    <n v="0"/>
    <n v="0"/>
    <x v="0"/>
    <n v="0"/>
    <n v="0"/>
    <n v="0"/>
    <n v="0"/>
    <n v="0"/>
    <n v="0"/>
    <n v="0"/>
    <n v="0"/>
    <n v="0"/>
    <n v="0"/>
    <n v="0"/>
    <n v="0"/>
  </r>
  <r>
    <x v="1"/>
    <n v="0"/>
    <n v="0"/>
    <x v="0"/>
    <n v="0"/>
    <n v="0"/>
    <n v="0"/>
    <n v="0"/>
    <n v="0"/>
    <n v="0"/>
    <n v="0"/>
    <n v="28323.98"/>
    <n v="0"/>
    <n v="0"/>
    <n v="0"/>
    <n v="28323.98"/>
  </r>
  <r>
    <x v="1"/>
    <n v="0"/>
    <n v="0"/>
    <x v="0"/>
    <n v="0"/>
    <n v="0"/>
    <n v="0"/>
    <n v="0"/>
    <n v="0"/>
    <n v="0"/>
    <n v="0"/>
    <n v="0"/>
    <n v="17327.52"/>
    <n v="0"/>
    <n v="0"/>
    <n v="17327.52"/>
  </r>
  <r>
    <x v="1"/>
    <n v="0"/>
    <n v="0"/>
    <x v="0"/>
    <n v="0"/>
    <n v="0"/>
    <n v="0"/>
    <n v="0"/>
    <n v="0"/>
    <n v="0"/>
    <n v="0"/>
    <n v="0"/>
    <n v="0"/>
    <n v="0"/>
    <n v="-40791.599999999999"/>
    <n v="-40791.599999999999"/>
  </r>
  <r>
    <x v="2"/>
    <n v="2974034.44"/>
    <n v="0"/>
    <x v="0"/>
    <n v="0"/>
    <n v="0"/>
    <n v="0"/>
    <n v="0"/>
    <n v="0"/>
    <n v="2974034.44"/>
    <n v="0"/>
    <n v="0"/>
    <n v="0"/>
    <n v="0"/>
    <n v="0"/>
    <n v="0"/>
  </r>
  <r>
    <x v="2"/>
    <n v="0"/>
    <n v="120177.96"/>
    <x v="0"/>
    <n v="0"/>
    <n v="0"/>
    <n v="0"/>
    <n v="0"/>
    <n v="0"/>
    <n v="120177.96"/>
    <n v="0"/>
    <n v="0"/>
    <n v="0"/>
    <n v="0"/>
    <n v="0"/>
    <n v="0"/>
  </r>
  <r>
    <x v="2"/>
    <n v="0"/>
    <n v="0"/>
    <x v="3"/>
    <n v="0"/>
    <n v="0"/>
    <n v="0"/>
    <n v="0"/>
    <n v="0"/>
    <n v="865092.26"/>
    <n v="0"/>
    <n v="0"/>
    <n v="0"/>
    <n v="0"/>
    <n v="0"/>
    <n v="0"/>
  </r>
  <r>
    <x v="2"/>
    <n v="0"/>
    <n v="0"/>
    <x v="0"/>
    <n v="214553.03"/>
    <n v="0"/>
    <n v="0"/>
    <n v="0"/>
    <n v="0"/>
    <n v="214553.03"/>
    <n v="0"/>
    <n v="0"/>
    <n v="0"/>
    <n v="0"/>
    <n v="0"/>
    <n v="0"/>
  </r>
  <r>
    <x v="2"/>
    <n v="0"/>
    <n v="0"/>
    <x v="0"/>
    <n v="0"/>
    <n v="0"/>
    <n v="0"/>
    <n v="0"/>
    <n v="0"/>
    <n v="0"/>
    <n v="0"/>
    <n v="0"/>
    <n v="0"/>
    <n v="0"/>
    <n v="0"/>
    <n v="0"/>
  </r>
  <r>
    <x v="2"/>
    <n v="0"/>
    <n v="0"/>
    <x v="0"/>
    <n v="0"/>
    <n v="0"/>
    <n v="1549887.99"/>
    <n v="0"/>
    <n v="0"/>
    <n v="1549887.99"/>
    <n v="0"/>
    <n v="0"/>
    <n v="0"/>
    <n v="0"/>
    <n v="0"/>
    <n v="0"/>
  </r>
  <r>
    <x v="2"/>
    <n v="0"/>
    <n v="0"/>
    <x v="0"/>
    <n v="0"/>
    <n v="0"/>
    <n v="0"/>
    <n v="0"/>
    <n v="0"/>
    <n v="0"/>
    <n v="0"/>
    <n v="0"/>
    <n v="0"/>
    <n v="0"/>
    <n v="0"/>
    <n v="0"/>
  </r>
  <r>
    <x v="2"/>
    <n v="0"/>
    <n v="0"/>
    <x v="0"/>
    <n v="0"/>
    <n v="0"/>
    <n v="0"/>
    <n v="0"/>
    <n v="0"/>
    <n v="0"/>
    <n v="0"/>
    <n v="0"/>
    <n v="0"/>
    <n v="0"/>
    <n v="0"/>
    <n v="0"/>
  </r>
  <r>
    <x v="2"/>
    <n v="0"/>
    <n v="0"/>
    <x v="0"/>
    <n v="0"/>
    <n v="0"/>
    <n v="0"/>
    <n v="0"/>
    <n v="0"/>
    <n v="0"/>
    <n v="0"/>
    <n v="0"/>
    <n v="0"/>
    <n v="0"/>
    <n v="0"/>
    <n v="0"/>
  </r>
  <r>
    <x v="2"/>
    <n v="0"/>
    <n v="0"/>
    <x v="0"/>
    <n v="0"/>
    <n v="0"/>
    <n v="0"/>
    <n v="0"/>
    <n v="0"/>
    <n v="0"/>
    <n v="0"/>
    <n v="20061.580000000002"/>
    <n v="0"/>
    <n v="0"/>
    <n v="0"/>
    <n v="20061.580000000002"/>
  </r>
  <r>
    <x v="2"/>
    <n v="0"/>
    <n v="0"/>
    <x v="0"/>
    <n v="0"/>
    <n v="0"/>
    <n v="0"/>
    <n v="0"/>
    <n v="0"/>
    <n v="0"/>
    <n v="0"/>
    <n v="0"/>
    <n v="29562.74"/>
    <n v="0"/>
    <n v="0"/>
    <n v="29562.74"/>
  </r>
  <r>
    <x v="2"/>
    <n v="0"/>
    <n v="0"/>
    <x v="0"/>
    <n v="0"/>
    <n v="0"/>
    <n v="0"/>
    <n v="0"/>
    <n v="0"/>
    <n v="0"/>
    <n v="0"/>
    <n v="0"/>
    <n v="0"/>
    <n v="0"/>
    <n v="-86509.23"/>
    <n v="-86509.23"/>
  </r>
  <r>
    <x v="3"/>
    <n v="2814411.06"/>
    <n v="0"/>
    <x v="0"/>
    <n v="0"/>
    <n v="0"/>
    <n v="0"/>
    <n v="0"/>
    <n v="0"/>
    <n v="2814411.06"/>
    <n v="0"/>
    <n v="0"/>
    <n v="0"/>
    <n v="0"/>
    <n v="0"/>
    <n v="0"/>
  </r>
  <r>
    <x v="3"/>
    <n v="0"/>
    <n v="100752.76"/>
    <x v="0"/>
    <n v="0"/>
    <n v="0"/>
    <n v="0"/>
    <n v="0"/>
    <n v="0"/>
    <n v="100752.76"/>
    <n v="0"/>
    <n v="0"/>
    <n v="0"/>
    <n v="0"/>
    <n v="0"/>
    <n v="0"/>
  </r>
  <r>
    <x v="3"/>
    <n v="0"/>
    <n v="0"/>
    <x v="4"/>
    <n v="0"/>
    <n v="0"/>
    <n v="0"/>
    <n v="0"/>
    <n v="0"/>
    <n v="539151.94999999995"/>
    <n v="0"/>
    <n v="0"/>
    <n v="0"/>
    <n v="0"/>
    <n v="0"/>
    <n v="0"/>
  </r>
  <r>
    <x v="3"/>
    <n v="0"/>
    <n v="0"/>
    <x v="0"/>
    <n v="84479.89"/>
    <n v="0"/>
    <n v="0"/>
    <n v="0"/>
    <n v="0"/>
    <n v="84479.89"/>
    <n v="0"/>
    <n v="0"/>
    <n v="0"/>
    <n v="0"/>
    <n v="0"/>
    <n v="0"/>
  </r>
  <r>
    <x v="3"/>
    <n v="0"/>
    <n v="0"/>
    <x v="0"/>
    <n v="0"/>
    <n v="89.89"/>
    <n v="0"/>
    <n v="0"/>
    <n v="0"/>
    <n v="89.89"/>
    <n v="0"/>
    <n v="0"/>
    <n v="0"/>
    <n v="0"/>
    <n v="0"/>
    <n v="0"/>
  </r>
  <r>
    <x v="3"/>
    <n v="0"/>
    <n v="0"/>
    <x v="0"/>
    <n v="0"/>
    <n v="0"/>
    <n v="1072405.53"/>
    <n v="0"/>
    <n v="0"/>
    <n v="1072405.53"/>
    <n v="0"/>
    <n v="0"/>
    <n v="0"/>
    <n v="0"/>
    <n v="0"/>
    <n v="0"/>
  </r>
  <r>
    <x v="3"/>
    <n v="0"/>
    <n v="0"/>
    <x v="0"/>
    <n v="0"/>
    <n v="0"/>
    <n v="0"/>
    <n v="0"/>
    <n v="0"/>
    <n v="0"/>
    <n v="0"/>
    <n v="0"/>
    <n v="0"/>
    <n v="0"/>
    <n v="0"/>
    <n v="0"/>
  </r>
  <r>
    <x v="3"/>
    <n v="0"/>
    <n v="0"/>
    <x v="0"/>
    <n v="0"/>
    <n v="0"/>
    <n v="0"/>
    <n v="0"/>
    <n v="52656.63"/>
    <n v="52656.63"/>
    <n v="0"/>
    <n v="0"/>
    <n v="0"/>
    <n v="0"/>
    <n v="0"/>
    <n v="0"/>
  </r>
  <r>
    <x v="3"/>
    <n v="0"/>
    <n v="0"/>
    <x v="0"/>
    <n v="0"/>
    <n v="0"/>
    <n v="0"/>
    <n v="0"/>
    <n v="0"/>
    <n v="0"/>
    <n v="-174343.49"/>
    <n v="0"/>
    <n v="0"/>
    <n v="0"/>
    <n v="0"/>
    <n v="-174343.49"/>
  </r>
  <r>
    <x v="3"/>
    <n v="0"/>
    <n v="0"/>
    <x v="0"/>
    <n v="0"/>
    <n v="0"/>
    <n v="0"/>
    <n v="0"/>
    <n v="0"/>
    <n v="0"/>
    <n v="0"/>
    <n v="18910.22"/>
    <n v="0"/>
    <n v="0"/>
    <n v="0"/>
    <n v="18910.22"/>
  </r>
  <r>
    <x v="3"/>
    <n v="0"/>
    <n v="0"/>
    <x v="0"/>
    <n v="0"/>
    <n v="0"/>
    <n v="0"/>
    <n v="0"/>
    <n v="0"/>
    <n v="0"/>
    <n v="0"/>
    <n v="0"/>
    <n v="23604.19"/>
    <n v="0"/>
    <n v="0"/>
    <n v="23604.19"/>
  </r>
  <r>
    <x v="3"/>
    <n v="0"/>
    <n v="0"/>
    <x v="0"/>
    <n v="0"/>
    <n v="0"/>
    <n v="0"/>
    <n v="0"/>
    <n v="0"/>
    <n v="0"/>
    <n v="0"/>
    <n v="0"/>
    <n v="0"/>
    <n v="0"/>
    <n v="-53915.19"/>
    <n v="-53915.19"/>
  </r>
  <r>
    <x v="4"/>
    <n v="17574284.460000001"/>
    <n v="0"/>
    <x v="0"/>
    <n v="0"/>
    <n v="0"/>
    <n v="0"/>
    <n v="0"/>
    <n v="0"/>
    <n v="17574284.460000001"/>
    <n v="0"/>
    <n v="0"/>
    <n v="0"/>
    <n v="0"/>
    <n v="0"/>
    <n v="0"/>
  </r>
  <r>
    <x v="4"/>
    <n v="0"/>
    <n v="763525.87"/>
    <x v="0"/>
    <n v="0"/>
    <n v="0"/>
    <n v="0"/>
    <n v="0"/>
    <n v="0"/>
    <n v="763525.87"/>
    <n v="0"/>
    <n v="0"/>
    <n v="0"/>
    <n v="0"/>
    <n v="0"/>
    <n v="0"/>
  </r>
  <r>
    <x v="4"/>
    <n v="0"/>
    <n v="0"/>
    <x v="5"/>
    <n v="0"/>
    <n v="0"/>
    <n v="0"/>
    <n v="0"/>
    <n v="0"/>
    <n v="2716201.87"/>
    <n v="0"/>
    <n v="0"/>
    <n v="0"/>
    <n v="0"/>
    <n v="0"/>
    <n v="0"/>
  </r>
  <r>
    <x v="4"/>
    <n v="0"/>
    <n v="0"/>
    <x v="0"/>
    <n v="152426.72"/>
    <n v="0"/>
    <n v="0"/>
    <n v="0"/>
    <n v="0"/>
    <n v="152426.72"/>
    <n v="0"/>
    <n v="0"/>
    <n v="0"/>
    <n v="0"/>
    <n v="0"/>
    <n v="0"/>
  </r>
  <r>
    <x v="4"/>
    <n v="0"/>
    <n v="0"/>
    <x v="0"/>
    <n v="0"/>
    <n v="51899.18"/>
    <n v="0"/>
    <n v="0"/>
    <n v="0"/>
    <n v="51899.18"/>
    <n v="0"/>
    <n v="0"/>
    <n v="0"/>
    <n v="0"/>
    <n v="0"/>
    <n v="0"/>
  </r>
  <r>
    <x v="4"/>
    <n v="0"/>
    <n v="0"/>
    <x v="0"/>
    <n v="0"/>
    <n v="0"/>
    <n v="10891597.939999999"/>
    <n v="0"/>
    <n v="0"/>
    <n v="10891597.939999999"/>
    <n v="0"/>
    <n v="0"/>
    <n v="0"/>
    <n v="0"/>
    <n v="0"/>
    <n v="0"/>
  </r>
  <r>
    <x v="4"/>
    <n v="0"/>
    <n v="0"/>
    <x v="0"/>
    <n v="0"/>
    <n v="0"/>
    <n v="0"/>
    <n v="0"/>
    <n v="0"/>
    <n v="0"/>
    <n v="0"/>
    <n v="0"/>
    <n v="0"/>
    <n v="0"/>
    <n v="0"/>
    <n v="0"/>
  </r>
  <r>
    <x v="4"/>
    <n v="0"/>
    <n v="0"/>
    <x v="0"/>
    <n v="0"/>
    <n v="0"/>
    <n v="0"/>
    <n v="0"/>
    <n v="0"/>
    <n v="0"/>
    <n v="0"/>
    <n v="0"/>
    <n v="0"/>
    <n v="0"/>
    <n v="0"/>
    <n v="0"/>
  </r>
  <r>
    <x v="4"/>
    <n v="0"/>
    <n v="0"/>
    <x v="0"/>
    <n v="0"/>
    <n v="0"/>
    <n v="0"/>
    <n v="0"/>
    <n v="0"/>
    <n v="0"/>
    <n v="0"/>
    <n v="0"/>
    <n v="0"/>
    <n v="0"/>
    <n v="0"/>
    <n v="0"/>
  </r>
  <r>
    <x v="4"/>
    <n v="0"/>
    <n v="0"/>
    <x v="0"/>
    <n v="0"/>
    <n v="0"/>
    <n v="0"/>
    <n v="0"/>
    <n v="0"/>
    <n v="0"/>
    <n v="0"/>
    <n v="85813.33"/>
    <n v="0"/>
    <n v="0"/>
    <n v="0"/>
    <n v="85813.33"/>
  </r>
  <r>
    <x v="4"/>
    <n v="0"/>
    <n v="0"/>
    <x v="0"/>
    <n v="0"/>
    <n v="0"/>
    <n v="0"/>
    <n v="0"/>
    <n v="0"/>
    <n v="0"/>
    <n v="0"/>
    <n v="0"/>
    <n v="155237.82"/>
    <n v="0"/>
    <n v="0"/>
    <n v="155237.82"/>
  </r>
  <r>
    <x v="4"/>
    <n v="0"/>
    <n v="0"/>
    <x v="0"/>
    <n v="0"/>
    <n v="0"/>
    <n v="0"/>
    <n v="0"/>
    <n v="0"/>
    <n v="0"/>
    <n v="0"/>
    <n v="0"/>
    <n v="0"/>
    <n v="0"/>
    <n v="-271620.19"/>
    <n v="-271620.19"/>
  </r>
  <r>
    <x v="5"/>
    <n v="2673227.6800000002"/>
    <n v="0"/>
    <x v="0"/>
    <n v="0"/>
    <n v="0"/>
    <n v="0"/>
    <n v="0"/>
    <n v="0"/>
    <n v="2673227.6800000002"/>
    <n v="0"/>
    <n v="0"/>
    <n v="0"/>
    <n v="0"/>
    <n v="0"/>
    <n v="0"/>
  </r>
  <r>
    <x v="5"/>
    <n v="0"/>
    <n v="85977.76"/>
    <x v="0"/>
    <n v="0"/>
    <n v="0"/>
    <n v="0"/>
    <n v="0"/>
    <n v="0"/>
    <n v="85977.76"/>
    <n v="0"/>
    <n v="0"/>
    <n v="0"/>
    <n v="0"/>
    <n v="0"/>
    <n v="0"/>
  </r>
  <r>
    <x v="5"/>
    <n v="0"/>
    <n v="0"/>
    <x v="6"/>
    <n v="0"/>
    <n v="0"/>
    <n v="0"/>
    <n v="0"/>
    <n v="0"/>
    <n v="269569.28000000003"/>
    <n v="0"/>
    <n v="0"/>
    <n v="0"/>
    <n v="0"/>
    <n v="0"/>
    <n v="0"/>
  </r>
  <r>
    <x v="5"/>
    <n v="0"/>
    <n v="0"/>
    <x v="0"/>
    <n v="45052.82"/>
    <n v="0"/>
    <n v="0"/>
    <n v="0"/>
    <n v="0"/>
    <n v="45052.82"/>
    <n v="0"/>
    <n v="0"/>
    <n v="0"/>
    <n v="0"/>
    <n v="0"/>
    <n v="0"/>
  </r>
  <r>
    <x v="5"/>
    <n v="0"/>
    <n v="0"/>
    <x v="0"/>
    <n v="0"/>
    <n v="0"/>
    <n v="0"/>
    <n v="0"/>
    <n v="0"/>
    <n v="0"/>
    <n v="0"/>
    <n v="0"/>
    <n v="0"/>
    <n v="0"/>
    <n v="0"/>
    <n v="0"/>
  </r>
  <r>
    <x v="5"/>
    <n v="0"/>
    <n v="0"/>
    <x v="0"/>
    <n v="0"/>
    <n v="0"/>
    <n v="792153.15"/>
    <n v="0"/>
    <n v="0"/>
    <n v="792153.15"/>
    <n v="0"/>
    <n v="0"/>
    <n v="0"/>
    <n v="0"/>
    <n v="0"/>
    <n v="0"/>
  </r>
  <r>
    <x v="5"/>
    <n v="0"/>
    <n v="0"/>
    <x v="0"/>
    <n v="0"/>
    <n v="0"/>
    <n v="0"/>
    <n v="0"/>
    <n v="0"/>
    <n v="0"/>
    <n v="0"/>
    <n v="0"/>
    <n v="0"/>
    <n v="0"/>
    <n v="0"/>
    <n v="0"/>
  </r>
  <r>
    <x v="5"/>
    <n v="0"/>
    <n v="0"/>
    <x v="0"/>
    <n v="0"/>
    <n v="0"/>
    <n v="0"/>
    <n v="0"/>
    <n v="189323.19"/>
    <n v="189323.19"/>
    <n v="0"/>
    <n v="0"/>
    <n v="0"/>
    <n v="0"/>
    <n v="0"/>
    <n v="0"/>
  </r>
  <r>
    <x v="5"/>
    <n v="0"/>
    <n v="0"/>
    <x v="0"/>
    <n v="0"/>
    <n v="0"/>
    <n v="0"/>
    <n v="0"/>
    <n v="0"/>
    <n v="0"/>
    <n v="0"/>
    <n v="0"/>
    <n v="0"/>
    <n v="0"/>
    <n v="0"/>
    <n v="0"/>
  </r>
  <r>
    <x v="5"/>
    <n v="0"/>
    <n v="0"/>
    <x v="0"/>
    <n v="0"/>
    <n v="0"/>
    <n v="0"/>
    <n v="0"/>
    <n v="0"/>
    <n v="0"/>
    <n v="0"/>
    <n v="31340.720000000001"/>
    <n v="0"/>
    <n v="0"/>
    <n v="0"/>
    <n v="31340.720000000001"/>
  </r>
  <r>
    <x v="5"/>
    <n v="0"/>
    <n v="0"/>
    <x v="0"/>
    <n v="0"/>
    <n v="0"/>
    <n v="0"/>
    <n v="0"/>
    <n v="0"/>
    <n v="0"/>
    <n v="0"/>
    <n v="0"/>
    <n v="21442.32"/>
    <n v="0"/>
    <n v="0"/>
    <n v="21442.32"/>
  </r>
  <r>
    <x v="5"/>
    <n v="0"/>
    <n v="0"/>
    <x v="0"/>
    <n v="0"/>
    <n v="0"/>
    <n v="0"/>
    <n v="0"/>
    <n v="0"/>
    <n v="0"/>
    <n v="0"/>
    <n v="0"/>
    <n v="0"/>
    <n v="0"/>
    <n v="-26956.93"/>
    <n v="-26956.93"/>
  </r>
  <r>
    <x v="6"/>
    <n v="1356728.8"/>
    <n v="0"/>
    <x v="0"/>
    <n v="0"/>
    <n v="0"/>
    <n v="0"/>
    <n v="0"/>
    <n v="0"/>
    <n v="1356728.8"/>
    <n v="0"/>
    <n v="0"/>
    <n v="0"/>
    <n v="0"/>
    <n v="0"/>
    <n v="0"/>
  </r>
  <r>
    <x v="6"/>
    <n v="0"/>
    <n v="47371.83"/>
    <x v="0"/>
    <n v="0"/>
    <n v="0"/>
    <n v="0"/>
    <n v="0"/>
    <n v="0"/>
    <n v="47371.83"/>
    <n v="0"/>
    <n v="0"/>
    <n v="0"/>
    <n v="0"/>
    <n v="0"/>
    <n v="0"/>
  </r>
  <r>
    <x v="6"/>
    <n v="0"/>
    <n v="0"/>
    <x v="7"/>
    <n v="0"/>
    <n v="0"/>
    <n v="0"/>
    <n v="0"/>
    <n v="0"/>
    <n v="60917.62"/>
    <n v="0"/>
    <n v="0"/>
    <n v="0"/>
    <n v="0"/>
    <n v="0"/>
    <n v="0"/>
  </r>
  <r>
    <x v="6"/>
    <n v="0"/>
    <n v="0"/>
    <x v="0"/>
    <n v="17815.18"/>
    <n v="0"/>
    <n v="0"/>
    <n v="0"/>
    <n v="0"/>
    <n v="17815.18"/>
    <n v="0"/>
    <n v="0"/>
    <n v="0"/>
    <n v="0"/>
    <n v="0"/>
    <n v="0"/>
  </r>
  <r>
    <x v="6"/>
    <n v="0"/>
    <n v="0"/>
    <x v="0"/>
    <n v="0"/>
    <n v="23.67"/>
    <n v="0"/>
    <n v="0"/>
    <n v="0"/>
    <n v="23.67"/>
    <n v="0"/>
    <n v="0"/>
    <n v="0"/>
    <n v="0"/>
    <n v="0"/>
    <n v="0"/>
  </r>
  <r>
    <x v="6"/>
    <n v="0"/>
    <n v="0"/>
    <x v="0"/>
    <n v="0"/>
    <n v="0"/>
    <n v="140903.59"/>
    <n v="0"/>
    <n v="0"/>
    <n v="140903.59"/>
    <n v="0"/>
    <n v="0"/>
    <n v="0"/>
    <n v="0"/>
    <n v="0"/>
    <n v="0"/>
  </r>
  <r>
    <x v="6"/>
    <n v="0"/>
    <n v="0"/>
    <x v="0"/>
    <n v="0"/>
    <n v="0"/>
    <n v="0"/>
    <n v="40387.839999999997"/>
    <n v="0"/>
    <n v="40387.839999999997"/>
    <n v="0"/>
    <n v="0"/>
    <n v="0"/>
    <n v="0"/>
    <n v="0"/>
    <n v="0"/>
  </r>
  <r>
    <x v="6"/>
    <n v="0"/>
    <n v="0"/>
    <x v="0"/>
    <n v="0"/>
    <n v="0"/>
    <n v="0"/>
    <n v="0"/>
    <n v="62950.68"/>
    <n v="62950.68"/>
    <n v="0"/>
    <n v="0"/>
    <n v="0"/>
    <n v="0"/>
    <n v="0"/>
    <n v="0"/>
  </r>
  <r>
    <x v="6"/>
    <n v="0"/>
    <n v="0"/>
    <x v="0"/>
    <n v="0"/>
    <n v="0"/>
    <n v="0"/>
    <n v="0"/>
    <n v="0"/>
    <n v="0"/>
    <n v="0"/>
    <n v="0"/>
    <n v="0"/>
    <n v="0"/>
    <n v="0"/>
    <n v="0"/>
  </r>
  <r>
    <x v="6"/>
    <n v="0"/>
    <n v="0"/>
    <x v="0"/>
    <n v="0"/>
    <n v="0"/>
    <n v="0"/>
    <n v="0"/>
    <n v="0"/>
    <n v="0"/>
    <n v="0"/>
    <n v="40202.17"/>
    <n v="0"/>
    <n v="0"/>
    <n v="0"/>
    <n v="40202.17"/>
  </r>
  <r>
    <x v="6"/>
    <n v="0"/>
    <n v="0"/>
    <x v="0"/>
    <n v="0"/>
    <n v="0"/>
    <n v="0"/>
    <n v="0"/>
    <n v="0"/>
    <n v="0"/>
    <n v="0"/>
    <n v="0"/>
    <n v="55108.07"/>
    <n v="0"/>
    <n v="0"/>
    <n v="55108.07"/>
  </r>
  <r>
    <x v="6"/>
    <n v="0"/>
    <n v="0"/>
    <x v="0"/>
    <n v="0"/>
    <n v="0"/>
    <n v="0"/>
    <n v="0"/>
    <n v="0"/>
    <n v="0"/>
    <n v="0"/>
    <n v="0"/>
    <n v="0"/>
    <n v="0"/>
    <n v="-6091.76"/>
    <n v="-6091.76"/>
  </r>
  <r>
    <x v="7"/>
    <n v="1575660.16"/>
    <n v="0"/>
    <x v="0"/>
    <n v="0"/>
    <n v="0"/>
    <n v="0"/>
    <n v="0"/>
    <n v="0"/>
    <n v="1575660.16"/>
    <n v="0"/>
    <n v="0"/>
    <n v="0"/>
    <n v="0"/>
    <n v="0"/>
    <n v="0"/>
  </r>
  <r>
    <x v="7"/>
    <n v="0"/>
    <n v="60542.49"/>
    <x v="0"/>
    <n v="0"/>
    <n v="0"/>
    <n v="0"/>
    <n v="0"/>
    <n v="0"/>
    <n v="60542.49"/>
    <n v="0"/>
    <n v="0"/>
    <n v="0"/>
    <n v="0"/>
    <n v="0"/>
    <n v="0"/>
  </r>
  <r>
    <x v="7"/>
    <n v="0"/>
    <n v="0"/>
    <x v="8"/>
    <n v="0"/>
    <n v="0"/>
    <n v="0"/>
    <n v="0"/>
    <n v="0"/>
    <n v="316879"/>
    <n v="0"/>
    <n v="0"/>
    <n v="0"/>
    <n v="0"/>
    <n v="0"/>
    <n v="0"/>
  </r>
  <r>
    <x v="7"/>
    <n v="0"/>
    <n v="0"/>
    <x v="0"/>
    <n v="1337.48"/>
    <n v="0"/>
    <n v="0"/>
    <n v="0"/>
    <n v="0"/>
    <n v="1337.48"/>
    <n v="0"/>
    <n v="0"/>
    <n v="0"/>
    <n v="0"/>
    <n v="0"/>
    <n v="0"/>
  </r>
  <r>
    <x v="7"/>
    <n v="0"/>
    <n v="0"/>
    <x v="0"/>
    <n v="0"/>
    <n v="0"/>
    <n v="0"/>
    <n v="0"/>
    <n v="0"/>
    <n v="0"/>
    <n v="0"/>
    <n v="0"/>
    <n v="0"/>
    <n v="0"/>
    <n v="0"/>
    <n v="0"/>
  </r>
  <r>
    <x v="7"/>
    <n v="0"/>
    <n v="0"/>
    <x v="0"/>
    <n v="0"/>
    <n v="0"/>
    <n v="1177522.33"/>
    <n v="0"/>
    <n v="0"/>
    <n v="1177522.33"/>
    <n v="0"/>
    <n v="0"/>
    <n v="0"/>
    <n v="0"/>
    <n v="0"/>
    <n v="0"/>
  </r>
  <r>
    <x v="7"/>
    <n v="0"/>
    <n v="0"/>
    <x v="0"/>
    <n v="0"/>
    <n v="0"/>
    <n v="0"/>
    <n v="0"/>
    <n v="0"/>
    <n v="0"/>
    <n v="0"/>
    <n v="0"/>
    <n v="0"/>
    <n v="0"/>
    <n v="0"/>
    <n v="0"/>
  </r>
  <r>
    <x v="7"/>
    <n v="0"/>
    <n v="0"/>
    <x v="0"/>
    <n v="0"/>
    <n v="0"/>
    <n v="0"/>
    <n v="0"/>
    <n v="0"/>
    <n v="0"/>
    <n v="0"/>
    <n v="0"/>
    <n v="0"/>
    <n v="0"/>
    <n v="0"/>
    <n v="0"/>
  </r>
  <r>
    <x v="7"/>
    <n v="0"/>
    <n v="0"/>
    <x v="0"/>
    <n v="0"/>
    <n v="0"/>
    <n v="0"/>
    <n v="0"/>
    <n v="0"/>
    <n v="0"/>
    <n v="0"/>
    <n v="0"/>
    <n v="0"/>
    <n v="0"/>
    <n v="0"/>
    <n v="0"/>
  </r>
  <r>
    <x v="7"/>
    <n v="0"/>
    <n v="0"/>
    <x v="0"/>
    <n v="0"/>
    <n v="0"/>
    <n v="0"/>
    <n v="0"/>
    <n v="0"/>
    <n v="0"/>
    <n v="0"/>
    <n v="4767.96"/>
    <n v="0"/>
    <n v="0"/>
    <n v="0"/>
    <n v="4767.96"/>
  </r>
  <r>
    <x v="7"/>
    <n v="0"/>
    <n v="0"/>
    <x v="0"/>
    <n v="0"/>
    <n v="0"/>
    <n v="0"/>
    <n v="0"/>
    <n v="0"/>
    <n v="0"/>
    <n v="0"/>
    <n v="0"/>
    <n v="49474.13"/>
    <n v="0"/>
    <n v="0"/>
    <n v="49474.13"/>
  </r>
  <r>
    <x v="7"/>
    <n v="0"/>
    <n v="0"/>
    <x v="0"/>
    <n v="0"/>
    <n v="0"/>
    <n v="0"/>
    <n v="0"/>
    <n v="0"/>
    <n v="0"/>
    <n v="0"/>
    <n v="0"/>
    <n v="0"/>
    <n v="0"/>
    <n v="-31687.9"/>
    <n v="-31687.9"/>
  </r>
  <r>
    <x v="8"/>
    <n v="4180052.77"/>
    <n v="0"/>
    <x v="0"/>
    <n v="0"/>
    <n v="0"/>
    <n v="0"/>
    <n v="0"/>
    <n v="0"/>
    <n v="4180052.77"/>
    <n v="0"/>
    <n v="0"/>
    <n v="0"/>
    <n v="0"/>
    <n v="0"/>
    <n v="0"/>
  </r>
  <r>
    <x v="8"/>
    <n v="0"/>
    <n v="177050.95"/>
    <x v="0"/>
    <n v="0"/>
    <n v="0"/>
    <n v="0"/>
    <n v="0"/>
    <n v="0"/>
    <n v="177050.95"/>
    <n v="0"/>
    <n v="0"/>
    <n v="0"/>
    <n v="0"/>
    <n v="0"/>
    <n v="0"/>
  </r>
  <r>
    <x v="8"/>
    <n v="0"/>
    <n v="0"/>
    <x v="9"/>
    <n v="0"/>
    <n v="0"/>
    <n v="0"/>
    <n v="0"/>
    <n v="0"/>
    <n v="1221395.06"/>
    <n v="0"/>
    <n v="0"/>
    <n v="0"/>
    <n v="0"/>
    <n v="0"/>
    <n v="0"/>
  </r>
  <r>
    <x v="8"/>
    <n v="0"/>
    <n v="0"/>
    <x v="0"/>
    <n v="84583.22"/>
    <n v="0"/>
    <n v="0"/>
    <n v="0"/>
    <n v="0"/>
    <n v="84583.22"/>
    <n v="0"/>
    <n v="0"/>
    <n v="0"/>
    <n v="0"/>
    <n v="0"/>
    <n v="0"/>
  </r>
  <r>
    <x v="8"/>
    <n v="0"/>
    <n v="0"/>
    <x v="0"/>
    <n v="0"/>
    <n v="850.97"/>
    <n v="0"/>
    <n v="0"/>
    <n v="0"/>
    <n v="850.97"/>
    <n v="0"/>
    <n v="0"/>
    <n v="0"/>
    <n v="0"/>
    <n v="0"/>
    <n v="0"/>
  </r>
  <r>
    <x v="8"/>
    <n v="0"/>
    <n v="0"/>
    <x v="0"/>
    <n v="0"/>
    <n v="0"/>
    <n v="2114331.7000000002"/>
    <n v="0"/>
    <n v="0"/>
    <n v="2114331.7000000002"/>
    <n v="0"/>
    <n v="0"/>
    <n v="0"/>
    <n v="0"/>
    <n v="0"/>
    <n v="0"/>
  </r>
  <r>
    <x v="8"/>
    <n v="0"/>
    <n v="0"/>
    <x v="0"/>
    <n v="0"/>
    <n v="0"/>
    <n v="0"/>
    <n v="0"/>
    <n v="0"/>
    <n v="0"/>
    <n v="0"/>
    <n v="0"/>
    <n v="0"/>
    <n v="0"/>
    <n v="0"/>
    <n v="0"/>
  </r>
  <r>
    <x v="8"/>
    <n v="0"/>
    <n v="0"/>
    <x v="0"/>
    <n v="0"/>
    <n v="0"/>
    <n v="0"/>
    <n v="0"/>
    <n v="0"/>
    <n v="0"/>
    <n v="0"/>
    <n v="0"/>
    <n v="0"/>
    <n v="0"/>
    <n v="0"/>
    <n v="0"/>
  </r>
  <r>
    <x v="8"/>
    <n v="0"/>
    <n v="0"/>
    <x v="0"/>
    <n v="0"/>
    <n v="0"/>
    <n v="0"/>
    <n v="0"/>
    <n v="0"/>
    <n v="0"/>
    <n v="0"/>
    <n v="0"/>
    <n v="0"/>
    <n v="0"/>
    <n v="0"/>
    <n v="0"/>
  </r>
  <r>
    <x v="8"/>
    <n v="0"/>
    <n v="0"/>
    <x v="0"/>
    <n v="0"/>
    <n v="0"/>
    <n v="0"/>
    <n v="0"/>
    <n v="0"/>
    <n v="0"/>
    <n v="0"/>
    <n v="54324.3"/>
    <n v="0"/>
    <n v="0"/>
    <n v="0"/>
    <n v="54324.3"/>
  </r>
  <r>
    <x v="8"/>
    <n v="0"/>
    <n v="0"/>
    <x v="0"/>
    <n v="0"/>
    <n v="0"/>
    <n v="0"/>
    <n v="0"/>
    <n v="0"/>
    <n v="0"/>
    <n v="0"/>
    <n v="0"/>
    <n v="51824.25"/>
    <n v="0"/>
    <n v="0"/>
    <n v="51824.25"/>
  </r>
  <r>
    <x v="8"/>
    <n v="0"/>
    <n v="0"/>
    <x v="0"/>
    <n v="0"/>
    <n v="0"/>
    <n v="0"/>
    <n v="0"/>
    <n v="0"/>
    <n v="0"/>
    <n v="0"/>
    <n v="0"/>
    <n v="0"/>
    <n v="0"/>
    <n v="-122139.51"/>
    <n v="-122139.51"/>
  </r>
  <r>
    <x v="9"/>
    <n v="2793568.78"/>
    <n v="0"/>
    <x v="0"/>
    <n v="0"/>
    <n v="0"/>
    <n v="0"/>
    <n v="0"/>
    <n v="0"/>
    <n v="2793568.78"/>
    <n v="0"/>
    <n v="0"/>
    <n v="0"/>
    <n v="0"/>
    <n v="0"/>
    <n v="0"/>
  </r>
  <r>
    <x v="9"/>
    <n v="0"/>
    <n v="111734.18"/>
    <x v="0"/>
    <n v="0"/>
    <n v="0"/>
    <n v="0"/>
    <n v="0"/>
    <n v="0"/>
    <n v="111734.18"/>
    <n v="0"/>
    <n v="0"/>
    <n v="0"/>
    <n v="0"/>
    <n v="0"/>
    <n v="0"/>
  </r>
  <r>
    <x v="9"/>
    <n v="0"/>
    <n v="0"/>
    <x v="10"/>
    <n v="0"/>
    <n v="0"/>
    <n v="0"/>
    <n v="0"/>
    <n v="0"/>
    <n v="147554.26"/>
    <n v="0"/>
    <n v="0"/>
    <n v="0"/>
    <n v="0"/>
    <n v="0"/>
    <n v="0"/>
  </r>
  <r>
    <x v="9"/>
    <n v="0"/>
    <n v="0"/>
    <x v="0"/>
    <n v="5806.77"/>
    <n v="0"/>
    <n v="0"/>
    <n v="0"/>
    <n v="0"/>
    <n v="5806.77"/>
    <n v="0"/>
    <n v="0"/>
    <n v="0"/>
    <n v="0"/>
    <n v="0"/>
    <n v="0"/>
  </r>
  <r>
    <x v="9"/>
    <n v="0"/>
    <n v="0"/>
    <x v="0"/>
    <n v="0"/>
    <n v="947.15"/>
    <n v="0"/>
    <n v="0"/>
    <n v="0"/>
    <n v="947.15"/>
    <n v="0"/>
    <n v="0"/>
    <n v="0"/>
    <n v="0"/>
    <n v="0"/>
    <n v="0"/>
  </r>
  <r>
    <x v="9"/>
    <n v="0"/>
    <n v="0"/>
    <x v="0"/>
    <n v="0"/>
    <n v="0"/>
    <n v="730364.91"/>
    <n v="0"/>
    <n v="0"/>
    <n v="730364.91"/>
    <n v="0"/>
    <n v="0"/>
    <n v="0"/>
    <n v="0"/>
    <n v="0"/>
    <n v="0"/>
  </r>
  <r>
    <x v="9"/>
    <n v="0"/>
    <n v="0"/>
    <x v="0"/>
    <n v="0"/>
    <n v="0"/>
    <n v="0"/>
    <n v="0"/>
    <n v="0"/>
    <n v="0"/>
    <n v="0"/>
    <n v="0"/>
    <n v="0"/>
    <n v="0"/>
    <n v="0"/>
    <n v="0"/>
  </r>
  <r>
    <x v="9"/>
    <n v="0"/>
    <n v="0"/>
    <x v="0"/>
    <n v="0"/>
    <n v="0"/>
    <n v="0"/>
    <n v="0"/>
    <n v="48490.19"/>
    <n v="48490.19"/>
    <n v="0"/>
    <n v="0"/>
    <n v="0"/>
    <n v="0"/>
    <n v="0"/>
    <n v="0"/>
  </r>
  <r>
    <x v="9"/>
    <n v="0"/>
    <n v="0"/>
    <x v="0"/>
    <n v="0"/>
    <n v="0"/>
    <n v="0"/>
    <n v="0"/>
    <n v="0"/>
    <n v="0"/>
    <n v="0"/>
    <n v="0"/>
    <n v="0"/>
    <n v="0"/>
    <n v="0"/>
    <n v="0"/>
  </r>
  <r>
    <x v="9"/>
    <n v="0"/>
    <n v="0"/>
    <x v="0"/>
    <n v="0"/>
    <n v="0"/>
    <n v="0"/>
    <n v="0"/>
    <n v="0"/>
    <n v="0"/>
    <n v="0"/>
    <n v="23512.58"/>
    <n v="0"/>
    <n v="0"/>
    <n v="0"/>
    <n v="23512.58"/>
  </r>
  <r>
    <x v="9"/>
    <n v="0"/>
    <n v="0"/>
    <x v="0"/>
    <n v="0"/>
    <n v="0"/>
    <n v="0"/>
    <n v="0"/>
    <n v="0"/>
    <n v="0"/>
    <n v="0"/>
    <n v="0"/>
    <n v="105429.65"/>
    <n v="0"/>
    <n v="0"/>
    <n v="105429.65"/>
  </r>
  <r>
    <x v="9"/>
    <n v="0"/>
    <n v="0"/>
    <x v="0"/>
    <n v="0"/>
    <n v="0"/>
    <n v="0"/>
    <n v="0"/>
    <n v="0"/>
    <n v="0"/>
    <n v="0"/>
    <n v="0"/>
    <n v="0"/>
    <n v="1507285.15"/>
    <n v="0"/>
    <n v="1507285.15"/>
  </r>
  <r>
    <x v="10"/>
    <n v="4113958.34"/>
    <n v="0"/>
    <x v="0"/>
    <n v="0"/>
    <n v="0"/>
    <n v="0"/>
    <n v="0"/>
    <n v="0"/>
    <n v="4113958.34"/>
    <n v="0"/>
    <n v="0"/>
    <n v="0"/>
    <n v="0"/>
    <n v="0"/>
    <n v="0"/>
  </r>
  <r>
    <x v="10"/>
    <n v="0"/>
    <n v="179461.84"/>
    <x v="0"/>
    <n v="0"/>
    <n v="0"/>
    <n v="0"/>
    <n v="0"/>
    <n v="0"/>
    <n v="179461.84"/>
    <n v="0"/>
    <n v="0"/>
    <n v="0"/>
    <n v="0"/>
    <n v="0"/>
    <n v="0"/>
  </r>
  <r>
    <x v="10"/>
    <n v="0"/>
    <n v="0"/>
    <x v="11"/>
    <n v="0"/>
    <n v="0"/>
    <n v="0"/>
    <n v="0"/>
    <n v="0"/>
    <n v="543053.16"/>
    <n v="0"/>
    <n v="0"/>
    <n v="0"/>
    <n v="0"/>
    <n v="0"/>
    <n v="0"/>
  </r>
  <r>
    <x v="10"/>
    <n v="0"/>
    <n v="0"/>
    <x v="0"/>
    <n v="3009.49"/>
    <n v="0"/>
    <n v="0"/>
    <n v="0"/>
    <n v="0"/>
    <n v="3009.49"/>
    <n v="0"/>
    <n v="0"/>
    <n v="0"/>
    <n v="0"/>
    <n v="0"/>
    <n v="0"/>
  </r>
  <r>
    <x v="10"/>
    <n v="0"/>
    <n v="0"/>
    <x v="0"/>
    <n v="0"/>
    <n v="15343.37"/>
    <n v="0"/>
    <n v="0"/>
    <n v="0"/>
    <n v="15343.37"/>
    <n v="0"/>
    <n v="0"/>
    <n v="0"/>
    <n v="0"/>
    <n v="0"/>
    <n v="0"/>
  </r>
  <r>
    <x v="10"/>
    <n v="0"/>
    <n v="0"/>
    <x v="0"/>
    <n v="0"/>
    <n v="0"/>
    <n v="1434830.3"/>
    <n v="0"/>
    <n v="0"/>
    <n v="1434830.3"/>
    <n v="0"/>
    <n v="0"/>
    <n v="0"/>
    <n v="0"/>
    <n v="0"/>
    <n v="0"/>
  </r>
  <r>
    <x v="10"/>
    <n v="0"/>
    <n v="0"/>
    <x v="0"/>
    <n v="0"/>
    <n v="0"/>
    <n v="0"/>
    <n v="0"/>
    <n v="0"/>
    <n v="0"/>
    <n v="0"/>
    <n v="0"/>
    <n v="0"/>
    <n v="0"/>
    <n v="0"/>
    <n v="0"/>
  </r>
  <r>
    <x v="10"/>
    <n v="0"/>
    <n v="0"/>
    <x v="0"/>
    <n v="0"/>
    <n v="0"/>
    <n v="0"/>
    <n v="0"/>
    <n v="0"/>
    <n v="0"/>
    <n v="0"/>
    <n v="0"/>
    <n v="0"/>
    <n v="0"/>
    <n v="0"/>
    <n v="0"/>
  </r>
  <r>
    <x v="10"/>
    <n v="0"/>
    <n v="0"/>
    <x v="0"/>
    <n v="0"/>
    <n v="0"/>
    <n v="0"/>
    <n v="0"/>
    <n v="0"/>
    <n v="0"/>
    <n v="0"/>
    <n v="0"/>
    <n v="0"/>
    <n v="0"/>
    <n v="0"/>
    <n v="0"/>
  </r>
  <r>
    <x v="10"/>
    <n v="0"/>
    <n v="0"/>
    <x v="0"/>
    <n v="0"/>
    <n v="0"/>
    <n v="0"/>
    <n v="0"/>
    <n v="0"/>
    <n v="0"/>
    <n v="0"/>
    <n v="128447.74"/>
    <n v="0"/>
    <n v="0"/>
    <n v="0"/>
    <n v="128447.74"/>
  </r>
  <r>
    <x v="10"/>
    <n v="0"/>
    <n v="0"/>
    <x v="0"/>
    <n v="0"/>
    <n v="0"/>
    <n v="0"/>
    <n v="0"/>
    <n v="0"/>
    <n v="0"/>
    <n v="0"/>
    <n v="0"/>
    <n v="151518.65"/>
    <n v="0"/>
    <n v="0"/>
    <n v="151518.65"/>
  </r>
  <r>
    <x v="10"/>
    <n v="0"/>
    <n v="0"/>
    <x v="0"/>
    <n v="0"/>
    <n v="0"/>
    <n v="0"/>
    <n v="0"/>
    <n v="0"/>
    <n v="0"/>
    <n v="0"/>
    <n v="0"/>
    <n v="0"/>
    <n v="47314.33"/>
    <n v="0"/>
    <n v="47314.33"/>
  </r>
  <r>
    <x v="11"/>
    <n v="3374706.66"/>
    <n v="0"/>
    <x v="0"/>
    <n v="0"/>
    <n v="0"/>
    <n v="0"/>
    <n v="0"/>
    <n v="0"/>
    <n v="3374706.66"/>
    <n v="0"/>
    <n v="0"/>
    <n v="0"/>
    <n v="0"/>
    <n v="0"/>
    <n v="0"/>
  </r>
  <r>
    <x v="11"/>
    <n v="0"/>
    <n v="138094.76999999999"/>
    <x v="0"/>
    <n v="0"/>
    <n v="0"/>
    <n v="0"/>
    <n v="0"/>
    <n v="0"/>
    <n v="138094.76999999999"/>
    <n v="0"/>
    <n v="0"/>
    <n v="0"/>
    <n v="0"/>
    <n v="0"/>
    <n v="0"/>
  </r>
  <r>
    <x v="11"/>
    <n v="0"/>
    <n v="0"/>
    <x v="12"/>
    <n v="0"/>
    <n v="0"/>
    <n v="0"/>
    <n v="0"/>
    <n v="0"/>
    <n v="724372.23"/>
    <n v="0"/>
    <n v="0"/>
    <n v="0"/>
    <n v="0"/>
    <n v="0"/>
    <n v="0"/>
  </r>
  <r>
    <x v="11"/>
    <n v="0"/>
    <n v="0"/>
    <x v="0"/>
    <n v="76928.539999999994"/>
    <n v="0"/>
    <n v="0"/>
    <n v="0"/>
    <n v="0"/>
    <n v="76928.539999999994"/>
    <n v="0"/>
    <n v="0"/>
    <n v="0"/>
    <n v="0"/>
    <n v="0"/>
    <n v="0"/>
  </r>
  <r>
    <x v="11"/>
    <n v="0"/>
    <n v="0"/>
    <x v="0"/>
    <n v="0"/>
    <n v="1077.46"/>
    <n v="0"/>
    <n v="0"/>
    <n v="0"/>
    <n v="1077.46"/>
    <n v="0"/>
    <n v="0"/>
    <n v="0"/>
    <n v="0"/>
    <n v="0"/>
    <n v="0"/>
  </r>
  <r>
    <x v="11"/>
    <n v="0"/>
    <n v="0"/>
    <x v="0"/>
    <n v="0"/>
    <n v="0"/>
    <n v="1686862.19"/>
    <n v="0"/>
    <n v="0"/>
    <n v="1686862.19"/>
    <n v="0"/>
    <n v="0"/>
    <n v="0"/>
    <n v="0"/>
    <n v="0"/>
    <n v="0"/>
  </r>
  <r>
    <x v="11"/>
    <n v="0"/>
    <n v="0"/>
    <x v="0"/>
    <n v="0"/>
    <n v="0"/>
    <n v="0"/>
    <n v="0"/>
    <n v="0"/>
    <n v="0"/>
    <n v="0"/>
    <n v="0"/>
    <n v="0"/>
    <n v="0"/>
    <n v="0"/>
    <n v="0"/>
  </r>
  <r>
    <x v="11"/>
    <n v="0"/>
    <n v="0"/>
    <x v="0"/>
    <n v="0"/>
    <n v="0"/>
    <n v="0"/>
    <n v="0"/>
    <n v="0"/>
    <n v="0"/>
    <n v="0"/>
    <n v="0"/>
    <n v="0"/>
    <n v="0"/>
    <n v="0"/>
    <n v="0"/>
  </r>
  <r>
    <x v="11"/>
    <n v="0"/>
    <n v="0"/>
    <x v="0"/>
    <n v="0"/>
    <n v="0"/>
    <n v="0"/>
    <n v="0"/>
    <n v="0"/>
    <n v="0"/>
    <n v="0"/>
    <n v="0"/>
    <n v="0"/>
    <n v="0"/>
    <n v="0"/>
    <n v="0"/>
  </r>
  <r>
    <x v="11"/>
    <n v="0"/>
    <n v="0"/>
    <x v="0"/>
    <n v="0"/>
    <n v="0"/>
    <n v="0"/>
    <n v="0"/>
    <n v="0"/>
    <n v="0"/>
    <n v="0"/>
    <n v="151579.85"/>
    <n v="0"/>
    <n v="0"/>
    <n v="0"/>
    <n v="151579.85"/>
  </r>
  <r>
    <x v="11"/>
    <n v="0"/>
    <n v="0"/>
    <x v="0"/>
    <n v="0"/>
    <n v="0"/>
    <n v="0"/>
    <n v="0"/>
    <n v="0"/>
    <n v="0"/>
    <n v="0"/>
    <n v="0"/>
    <n v="37716.61"/>
    <n v="0"/>
    <n v="0"/>
    <n v="37716.61"/>
  </r>
  <r>
    <x v="11"/>
    <n v="0"/>
    <n v="0"/>
    <x v="0"/>
    <n v="0"/>
    <n v="0"/>
    <n v="0"/>
    <n v="0"/>
    <n v="0"/>
    <n v="0"/>
    <n v="0"/>
    <n v="0"/>
    <n v="0"/>
    <n v="0"/>
    <n v="-72437.22"/>
    <n v="-72437.22"/>
  </r>
  <r>
    <x v="12"/>
    <n v="3077756.52"/>
    <n v="0"/>
    <x v="0"/>
    <n v="0"/>
    <n v="0"/>
    <n v="0"/>
    <n v="0"/>
    <n v="0"/>
    <n v="3077756.52"/>
    <n v="0"/>
    <n v="0"/>
    <n v="0"/>
    <n v="0"/>
    <n v="0"/>
    <n v="0"/>
  </r>
  <r>
    <x v="12"/>
    <n v="0"/>
    <n v="130469.7"/>
    <x v="0"/>
    <n v="0"/>
    <n v="0"/>
    <n v="0"/>
    <n v="0"/>
    <n v="0"/>
    <n v="130469.7"/>
    <n v="0"/>
    <n v="0"/>
    <n v="0"/>
    <n v="0"/>
    <n v="0"/>
    <n v="0"/>
  </r>
  <r>
    <x v="12"/>
    <n v="0"/>
    <n v="0"/>
    <x v="13"/>
    <n v="0"/>
    <n v="0"/>
    <n v="0"/>
    <n v="0"/>
    <n v="0"/>
    <n v="1139800.95"/>
    <n v="0"/>
    <n v="0"/>
    <n v="0"/>
    <n v="0"/>
    <n v="0"/>
    <n v="0"/>
  </r>
  <r>
    <x v="12"/>
    <n v="0"/>
    <n v="0"/>
    <x v="0"/>
    <n v="31630.39"/>
    <n v="0"/>
    <n v="0"/>
    <n v="0"/>
    <n v="0"/>
    <n v="31630.39"/>
    <n v="0"/>
    <n v="0"/>
    <n v="0"/>
    <n v="0"/>
    <n v="0"/>
    <n v="0"/>
  </r>
  <r>
    <x v="12"/>
    <n v="0"/>
    <n v="0"/>
    <x v="0"/>
    <n v="0"/>
    <n v="1384.28"/>
    <n v="0"/>
    <n v="0"/>
    <n v="0"/>
    <n v="1384.28"/>
    <n v="0"/>
    <n v="0"/>
    <n v="0"/>
    <n v="0"/>
    <n v="0"/>
    <n v="0"/>
  </r>
  <r>
    <x v="12"/>
    <n v="0"/>
    <n v="0"/>
    <x v="0"/>
    <n v="0"/>
    <n v="0"/>
    <n v="1941724.71"/>
    <n v="0"/>
    <n v="0"/>
    <n v="1941724.71"/>
    <n v="0"/>
    <n v="0"/>
    <n v="0"/>
    <n v="0"/>
    <n v="0"/>
    <n v="0"/>
  </r>
  <r>
    <x v="12"/>
    <n v="0"/>
    <n v="0"/>
    <x v="0"/>
    <n v="0"/>
    <n v="0"/>
    <n v="0"/>
    <n v="0"/>
    <n v="0"/>
    <n v="0"/>
    <n v="0"/>
    <n v="0"/>
    <n v="0"/>
    <n v="0"/>
    <n v="0"/>
    <n v="0"/>
  </r>
  <r>
    <x v="12"/>
    <n v="0"/>
    <n v="0"/>
    <x v="0"/>
    <n v="0"/>
    <n v="0"/>
    <n v="0"/>
    <n v="0"/>
    <n v="0"/>
    <n v="0"/>
    <n v="0"/>
    <n v="0"/>
    <n v="0"/>
    <n v="0"/>
    <n v="0"/>
    <n v="0"/>
  </r>
  <r>
    <x v="12"/>
    <n v="0"/>
    <n v="0"/>
    <x v="0"/>
    <n v="0"/>
    <n v="0"/>
    <n v="0"/>
    <n v="0"/>
    <n v="0"/>
    <n v="0"/>
    <n v="0"/>
    <n v="0"/>
    <n v="0"/>
    <n v="0"/>
    <n v="0"/>
    <n v="0"/>
  </r>
  <r>
    <x v="12"/>
    <n v="0"/>
    <n v="0"/>
    <x v="0"/>
    <n v="0"/>
    <n v="0"/>
    <n v="0"/>
    <n v="0"/>
    <n v="0"/>
    <n v="0"/>
    <n v="0"/>
    <n v="16810"/>
    <n v="0"/>
    <n v="0"/>
    <n v="0"/>
    <n v="16810"/>
  </r>
  <r>
    <x v="12"/>
    <n v="0"/>
    <n v="0"/>
    <x v="0"/>
    <n v="0"/>
    <n v="0"/>
    <n v="0"/>
    <n v="0"/>
    <n v="0"/>
    <n v="0"/>
    <n v="0"/>
    <n v="0"/>
    <n v="51179.02"/>
    <n v="0"/>
    <n v="0"/>
    <n v="51179.02"/>
  </r>
  <r>
    <x v="12"/>
    <n v="0"/>
    <n v="0"/>
    <x v="0"/>
    <n v="0"/>
    <n v="0"/>
    <n v="0"/>
    <n v="0"/>
    <n v="0"/>
    <n v="0"/>
    <n v="0"/>
    <n v="0"/>
    <n v="0"/>
    <n v="0"/>
    <n v="-88845.73"/>
    <n v="-88845.73"/>
  </r>
  <r>
    <x v="13"/>
    <n v="11440492.66"/>
    <n v="0"/>
    <x v="0"/>
    <n v="0"/>
    <n v="0"/>
    <n v="0"/>
    <n v="0"/>
    <n v="0"/>
    <n v="11440492.66"/>
    <n v="0"/>
    <n v="0"/>
    <n v="0"/>
    <n v="0"/>
    <n v="0"/>
    <n v="0"/>
  </r>
  <r>
    <x v="13"/>
    <n v="0"/>
    <n v="495139.48"/>
    <x v="0"/>
    <n v="0"/>
    <n v="0"/>
    <n v="0"/>
    <n v="0"/>
    <n v="0"/>
    <n v="495139.48"/>
    <n v="0"/>
    <n v="0"/>
    <n v="0"/>
    <n v="0"/>
    <n v="0"/>
    <n v="0"/>
  </r>
  <r>
    <x v="13"/>
    <n v="0"/>
    <n v="0"/>
    <x v="14"/>
    <n v="0"/>
    <n v="0"/>
    <n v="0"/>
    <n v="0"/>
    <n v="0"/>
    <n v="2318377.48"/>
    <n v="0"/>
    <n v="0"/>
    <n v="0"/>
    <n v="0"/>
    <n v="0"/>
    <n v="0"/>
  </r>
  <r>
    <x v="13"/>
    <n v="0"/>
    <n v="0"/>
    <x v="0"/>
    <n v="257397.67"/>
    <n v="0"/>
    <n v="0"/>
    <n v="0"/>
    <n v="0"/>
    <n v="257397.67"/>
    <n v="0"/>
    <n v="0"/>
    <n v="0"/>
    <n v="0"/>
    <n v="0"/>
    <n v="0"/>
  </r>
  <r>
    <x v="13"/>
    <n v="0"/>
    <n v="0"/>
    <x v="0"/>
    <n v="0"/>
    <n v="14951.19"/>
    <n v="0"/>
    <n v="0"/>
    <n v="0"/>
    <n v="14951.19"/>
    <n v="0"/>
    <n v="0"/>
    <n v="0"/>
    <n v="0"/>
    <n v="0"/>
    <n v="0"/>
  </r>
  <r>
    <x v="13"/>
    <n v="0"/>
    <n v="0"/>
    <x v="0"/>
    <n v="0"/>
    <n v="0"/>
    <n v="7396537.6399999997"/>
    <n v="0"/>
    <n v="0"/>
    <n v="7396537.6399999997"/>
    <n v="0"/>
    <n v="0"/>
    <n v="0"/>
    <n v="0"/>
    <n v="0"/>
    <n v="0"/>
  </r>
  <r>
    <x v="13"/>
    <n v="0"/>
    <n v="0"/>
    <x v="0"/>
    <n v="0"/>
    <n v="0"/>
    <n v="0"/>
    <n v="0"/>
    <n v="0"/>
    <n v="0"/>
    <n v="0"/>
    <n v="0"/>
    <n v="0"/>
    <n v="0"/>
    <n v="0"/>
    <n v="0"/>
  </r>
  <r>
    <x v="13"/>
    <n v="0"/>
    <n v="0"/>
    <x v="0"/>
    <n v="0"/>
    <n v="0"/>
    <n v="0"/>
    <n v="0"/>
    <n v="0"/>
    <n v="0"/>
    <n v="0"/>
    <n v="0"/>
    <n v="0"/>
    <n v="0"/>
    <n v="0"/>
    <n v="0"/>
  </r>
  <r>
    <x v="13"/>
    <n v="0"/>
    <n v="0"/>
    <x v="0"/>
    <n v="0"/>
    <n v="0"/>
    <n v="0"/>
    <n v="0"/>
    <n v="0"/>
    <n v="0"/>
    <n v="0"/>
    <n v="0"/>
    <n v="0"/>
    <n v="0"/>
    <n v="0"/>
    <n v="0"/>
  </r>
  <r>
    <x v="13"/>
    <n v="0"/>
    <n v="0"/>
    <x v="0"/>
    <n v="0"/>
    <n v="0"/>
    <n v="0"/>
    <n v="0"/>
    <n v="0"/>
    <n v="0"/>
    <n v="0"/>
    <n v="21744.69"/>
    <n v="0"/>
    <n v="0"/>
    <n v="0"/>
    <n v="21744.69"/>
  </r>
  <r>
    <x v="13"/>
    <n v="0"/>
    <n v="0"/>
    <x v="0"/>
    <n v="0"/>
    <n v="0"/>
    <n v="0"/>
    <n v="0"/>
    <n v="0"/>
    <n v="0"/>
    <n v="0"/>
    <n v="0"/>
    <n v="255600.88"/>
    <n v="0"/>
    <n v="0"/>
    <n v="255600.88"/>
  </r>
  <r>
    <x v="13"/>
    <n v="0"/>
    <n v="0"/>
    <x v="0"/>
    <n v="0"/>
    <n v="0"/>
    <n v="0"/>
    <n v="0"/>
    <n v="0"/>
    <n v="0"/>
    <n v="0"/>
    <n v="0"/>
    <n v="0"/>
    <n v="0"/>
    <n v="-231837.75"/>
    <n v="-231837.75"/>
  </r>
  <r>
    <x v="14"/>
    <n v="1741989.67"/>
    <n v="0"/>
    <x v="0"/>
    <n v="0"/>
    <n v="0"/>
    <n v="0"/>
    <n v="0"/>
    <n v="0"/>
    <n v="1741989.67"/>
    <n v="0"/>
    <n v="0"/>
    <n v="0"/>
    <n v="0"/>
    <n v="0"/>
    <n v="0"/>
  </r>
  <r>
    <x v="14"/>
    <n v="0"/>
    <n v="57649.69"/>
    <x v="0"/>
    <n v="0"/>
    <n v="0"/>
    <n v="0"/>
    <n v="0"/>
    <n v="0"/>
    <n v="57649.69"/>
    <n v="0"/>
    <n v="0"/>
    <n v="0"/>
    <n v="0"/>
    <n v="0"/>
    <n v="0"/>
  </r>
  <r>
    <x v="14"/>
    <n v="0"/>
    <n v="0"/>
    <x v="15"/>
    <n v="0"/>
    <n v="0"/>
    <n v="0"/>
    <n v="0"/>
    <n v="0"/>
    <n v="376243.11"/>
    <n v="0"/>
    <n v="0"/>
    <n v="0"/>
    <n v="0"/>
    <n v="0"/>
    <n v="0"/>
  </r>
  <r>
    <x v="14"/>
    <n v="0"/>
    <n v="0"/>
    <x v="0"/>
    <n v="107731.42"/>
    <n v="0"/>
    <n v="0"/>
    <n v="0"/>
    <n v="0"/>
    <n v="107731.42"/>
    <n v="0"/>
    <n v="0"/>
    <n v="0"/>
    <n v="0"/>
    <n v="0"/>
    <n v="0"/>
  </r>
  <r>
    <x v="14"/>
    <n v="0"/>
    <n v="0"/>
    <x v="0"/>
    <n v="0"/>
    <n v="0"/>
    <n v="0"/>
    <n v="0"/>
    <n v="0"/>
    <n v="0"/>
    <n v="0"/>
    <n v="0"/>
    <n v="0"/>
    <n v="0"/>
    <n v="0"/>
    <n v="0"/>
  </r>
  <r>
    <x v="14"/>
    <n v="0"/>
    <n v="0"/>
    <x v="0"/>
    <n v="0"/>
    <n v="0"/>
    <n v="680420.15"/>
    <n v="0"/>
    <n v="0"/>
    <n v="680420.15"/>
    <n v="0"/>
    <n v="0"/>
    <n v="0"/>
    <n v="0"/>
    <n v="0"/>
    <n v="0"/>
  </r>
  <r>
    <x v="14"/>
    <n v="0"/>
    <n v="0"/>
    <x v="0"/>
    <n v="0"/>
    <n v="0"/>
    <n v="0"/>
    <n v="0"/>
    <n v="0"/>
    <n v="0"/>
    <n v="0"/>
    <n v="0"/>
    <n v="0"/>
    <n v="0"/>
    <n v="0"/>
    <n v="0"/>
  </r>
  <r>
    <x v="14"/>
    <n v="0"/>
    <n v="0"/>
    <x v="0"/>
    <n v="0"/>
    <n v="0"/>
    <n v="0"/>
    <n v="0"/>
    <n v="0"/>
    <n v="0"/>
    <n v="0"/>
    <n v="0"/>
    <n v="0"/>
    <n v="0"/>
    <n v="0"/>
    <n v="0"/>
  </r>
  <r>
    <x v="14"/>
    <n v="0"/>
    <n v="0"/>
    <x v="0"/>
    <n v="0"/>
    <n v="0"/>
    <n v="0"/>
    <n v="0"/>
    <n v="0"/>
    <n v="0"/>
    <n v="0"/>
    <n v="0"/>
    <n v="0"/>
    <n v="0"/>
    <n v="0"/>
    <n v="0"/>
  </r>
  <r>
    <x v="14"/>
    <n v="0"/>
    <n v="0"/>
    <x v="0"/>
    <n v="0"/>
    <n v="0"/>
    <n v="0"/>
    <n v="0"/>
    <n v="0"/>
    <n v="0"/>
    <n v="0"/>
    <n v="45169.19"/>
    <n v="0"/>
    <n v="0"/>
    <n v="0"/>
    <n v="45169.19"/>
  </r>
  <r>
    <x v="14"/>
    <n v="0"/>
    <n v="0"/>
    <x v="0"/>
    <n v="0"/>
    <n v="0"/>
    <n v="0"/>
    <n v="0"/>
    <n v="0"/>
    <n v="0"/>
    <n v="0"/>
    <n v="0"/>
    <n v="18983.55"/>
    <n v="0"/>
    <n v="0"/>
    <n v="18983.55"/>
  </r>
  <r>
    <x v="14"/>
    <n v="0"/>
    <n v="0"/>
    <x v="0"/>
    <n v="0"/>
    <n v="0"/>
    <n v="0"/>
    <n v="0"/>
    <n v="0"/>
    <n v="0"/>
    <n v="0"/>
    <n v="0"/>
    <n v="0"/>
    <n v="0"/>
    <n v="-37624.31"/>
    <n v="-37624.31"/>
  </r>
  <r>
    <x v="15"/>
    <n v="3264128.88"/>
    <n v="0"/>
    <x v="0"/>
    <n v="0"/>
    <n v="0"/>
    <n v="0"/>
    <n v="0"/>
    <n v="0"/>
    <n v="3264128.88"/>
    <n v="0"/>
    <n v="0"/>
    <n v="0"/>
    <n v="0"/>
    <n v="0"/>
    <n v="0"/>
  </r>
  <r>
    <x v="15"/>
    <n v="0"/>
    <n v="125392.52"/>
    <x v="0"/>
    <n v="0"/>
    <n v="0"/>
    <n v="0"/>
    <n v="0"/>
    <n v="0"/>
    <n v="125392.52"/>
    <n v="0"/>
    <n v="0"/>
    <n v="0"/>
    <n v="0"/>
    <n v="0"/>
    <n v="0"/>
  </r>
  <r>
    <x v="15"/>
    <n v="0"/>
    <n v="0"/>
    <x v="16"/>
    <n v="0"/>
    <n v="0"/>
    <n v="0"/>
    <n v="0"/>
    <n v="0"/>
    <n v="612263.35"/>
    <n v="0"/>
    <n v="0"/>
    <n v="0"/>
    <n v="0"/>
    <n v="0"/>
    <n v="0"/>
  </r>
  <r>
    <x v="15"/>
    <n v="0"/>
    <n v="0"/>
    <x v="0"/>
    <n v="79569.03"/>
    <n v="0"/>
    <n v="0"/>
    <n v="0"/>
    <n v="0"/>
    <n v="79569.03"/>
    <n v="0"/>
    <n v="0"/>
    <n v="0"/>
    <n v="0"/>
    <n v="0"/>
    <n v="0"/>
  </r>
  <r>
    <x v="15"/>
    <n v="0"/>
    <n v="0"/>
    <x v="0"/>
    <n v="0"/>
    <n v="647.65"/>
    <n v="0"/>
    <n v="0"/>
    <n v="0"/>
    <n v="647.65"/>
    <n v="0"/>
    <n v="0"/>
    <n v="0"/>
    <n v="0"/>
    <n v="0"/>
    <n v="0"/>
  </r>
  <r>
    <x v="15"/>
    <n v="0"/>
    <n v="0"/>
    <x v="0"/>
    <n v="0"/>
    <n v="0"/>
    <n v="1292997.75"/>
    <n v="0"/>
    <n v="0"/>
    <n v="1292997.75"/>
    <n v="0"/>
    <n v="0"/>
    <n v="0"/>
    <n v="0"/>
    <n v="0"/>
    <n v="0"/>
  </r>
  <r>
    <x v="15"/>
    <n v="0"/>
    <n v="0"/>
    <x v="0"/>
    <n v="0"/>
    <n v="0"/>
    <n v="0"/>
    <n v="0"/>
    <n v="0"/>
    <n v="0"/>
    <n v="0"/>
    <n v="0"/>
    <n v="0"/>
    <n v="0"/>
    <n v="0"/>
    <n v="0"/>
  </r>
  <r>
    <x v="15"/>
    <n v="0"/>
    <n v="0"/>
    <x v="0"/>
    <n v="0"/>
    <n v="0"/>
    <n v="0"/>
    <n v="0"/>
    <n v="0"/>
    <n v="0"/>
    <n v="0"/>
    <n v="0"/>
    <n v="0"/>
    <n v="0"/>
    <n v="0"/>
    <n v="0"/>
  </r>
  <r>
    <x v="15"/>
    <n v="0"/>
    <n v="0"/>
    <x v="0"/>
    <n v="0"/>
    <n v="0"/>
    <n v="0"/>
    <n v="0"/>
    <n v="0"/>
    <n v="0"/>
    <n v="0"/>
    <n v="0"/>
    <n v="0"/>
    <n v="0"/>
    <n v="0"/>
    <n v="0"/>
  </r>
  <r>
    <x v="15"/>
    <n v="0"/>
    <n v="0"/>
    <x v="0"/>
    <n v="0"/>
    <n v="0"/>
    <n v="0"/>
    <n v="0"/>
    <n v="0"/>
    <n v="0"/>
    <n v="0"/>
    <n v="17411.66"/>
    <n v="0"/>
    <n v="0"/>
    <n v="0"/>
    <n v="17411.66"/>
  </r>
  <r>
    <x v="15"/>
    <n v="0"/>
    <n v="0"/>
    <x v="0"/>
    <n v="0"/>
    <n v="0"/>
    <n v="0"/>
    <n v="0"/>
    <n v="0"/>
    <n v="0"/>
    <n v="0"/>
    <n v="0"/>
    <n v="21913.15"/>
    <n v="0"/>
    <n v="0"/>
    <n v="21913.15"/>
  </r>
  <r>
    <x v="15"/>
    <n v="0"/>
    <n v="0"/>
    <x v="0"/>
    <n v="0"/>
    <n v="0"/>
    <n v="0"/>
    <n v="0"/>
    <n v="0"/>
    <n v="0"/>
    <n v="0"/>
    <n v="0"/>
    <n v="0"/>
    <n v="0"/>
    <n v="-61226.33"/>
    <n v="-61226.33"/>
  </r>
  <r>
    <x v="16"/>
    <n v="1611802.23"/>
    <n v="0"/>
    <x v="0"/>
    <n v="0"/>
    <n v="0"/>
    <n v="0"/>
    <n v="0"/>
    <n v="0"/>
    <n v="1611802.23"/>
    <n v="0"/>
    <n v="0"/>
    <n v="0"/>
    <n v="0"/>
    <n v="0"/>
    <n v="0"/>
  </r>
  <r>
    <x v="16"/>
    <n v="0"/>
    <n v="53089.68"/>
    <x v="0"/>
    <n v="0"/>
    <n v="0"/>
    <n v="0"/>
    <n v="0"/>
    <n v="0"/>
    <n v="53089.68"/>
    <n v="0"/>
    <n v="0"/>
    <n v="0"/>
    <n v="0"/>
    <n v="0"/>
    <n v="0"/>
  </r>
  <r>
    <x v="16"/>
    <n v="0"/>
    <n v="0"/>
    <x v="17"/>
    <n v="0"/>
    <n v="0"/>
    <n v="0"/>
    <n v="0"/>
    <n v="0"/>
    <n v="37746.69"/>
    <n v="0"/>
    <n v="0"/>
    <n v="0"/>
    <n v="0"/>
    <n v="0"/>
    <n v="0"/>
  </r>
  <r>
    <x v="16"/>
    <n v="0"/>
    <n v="0"/>
    <x v="0"/>
    <n v="10882.32"/>
    <n v="0"/>
    <n v="0"/>
    <n v="0"/>
    <n v="0"/>
    <n v="10882.32"/>
    <n v="0"/>
    <n v="0"/>
    <n v="0"/>
    <n v="0"/>
    <n v="0"/>
    <n v="0"/>
  </r>
  <r>
    <x v="16"/>
    <n v="0"/>
    <n v="0"/>
    <x v="0"/>
    <n v="0"/>
    <n v="0"/>
    <n v="0"/>
    <n v="0"/>
    <n v="0"/>
    <n v="0"/>
    <n v="0"/>
    <n v="0"/>
    <n v="0"/>
    <n v="0"/>
    <n v="0"/>
    <n v="0"/>
  </r>
  <r>
    <x v="16"/>
    <n v="0"/>
    <n v="0"/>
    <x v="0"/>
    <n v="0"/>
    <n v="0"/>
    <n v="216001"/>
    <n v="0"/>
    <n v="0"/>
    <n v="216001"/>
    <n v="0"/>
    <n v="0"/>
    <n v="0"/>
    <n v="0"/>
    <n v="0"/>
    <n v="0"/>
  </r>
  <r>
    <x v="16"/>
    <n v="0"/>
    <n v="0"/>
    <x v="0"/>
    <n v="0"/>
    <n v="0"/>
    <n v="0"/>
    <n v="0"/>
    <n v="0"/>
    <n v="0"/>
    <n v="0"/>
    <n v="0"/>
    <n v="0"/>
    <n v="0"/>
    <n v="0"/>
    <n v="0"/>
  </r>
  <r>
    <x v="16"/>
    <n v="0"/>
    <n v="0"/>
    <x v="0"/>
    <n v="0"/>
    <n v="0"/>
    <n v="0"/>
    <n v="0"/>
    <n v="17519.990000000002"/>
    <n v="17519.990000000002"/>
    <n v="0"/>
    <n v="0"/>
    <n v="0"/>
    <n v="0"/>
    <n v="0"/>
    <n v="0"/>
  </r>
  <r>
    <x v="16"/>
    <n v="0"/>
    <n v="0"/>
    <x v="0"/>
    <n v="0"/>
    <n v="0"/>
    <n v="0"/>
    <n v="0"/>
    <n v="0"/>
    <n v="0"/>
    <n v="0"/>
    <n v="0"/>
    <n v="0"/>
    <n v="0"/>
    <n v="0"/>
    <n v="0"/>
  </r>
  <r>
    <x v="16"/>
    <n v="0"/>
    <n v="0"/>
    <x v="0"/>
    <n v="0"/>
    <n v="0"/>
    <n v="0"/>
    <n v="0"/>
    <n v="0"/>
    <n v="0"/>
    <n v="0"/>
    <n v="10896.44"/>
    <n v="0"/>
    <n v="0"/>
    <n v="0"/>
    <n v="10896.44"/>
  </r>
  <r>
    <x v="16"/>
    <n v="0"/>
    <n v="0"/>
    <x v="0"/>
    <n v="0"/>
    <n v="0"/>
    <n v="0"/>
    <n v="0"/>
    <n v="0"/>
    <n v="0"/>
    <n v="0"/>
    <n v="0"/>
    <n v="49320.58"/>
    <n v="0"/>
    <n v="0"/>
    <n v="49320.58"/>
  </r>
  <r>
    <x v="16"/>
    <n v="0"/>
    <n v="0"/>
    <x v="0"/>
    <n v="0"/>
    <n v="0"/>
    <n v="0"/>
    <n v="0"/>
    <n v="0"/>
    <n v="0"/>
    <n v="0"/>
    <n v="0"/>
    <n v="0"/>
    <n v="86168.54"/>
    <n v="0"/>
    <n v="86168.54"/>
  </r>
  <r>
    <x v="17"/>
    <n v="2950031.59"/>
    <n v="0"/>
    <x v="0"/>
    <n v="0"/>
    <n v="0"/>
    <n v="0"/>
    <n v="0"/>
    <n v="0"/>
    <n v="2950031.59"/>
    <n v="0"/>
    <n v="0"/>
    <n v="0"/>
    <n v="0"/>
    <n v="0"/>
    <n v="0"/>
  </r>
  <r>
    <x v="17"/>
    <n v="0"/>
    <n v="114405.77"/>
    <x v="0"/>
    <n v="0"/>
    <n v="0"/>
    <n v="0"/>
    <n v="0"/>
    <n v="0"/>
    <n v="114405.77"/>
    <n v="0"/>
    <n v="0"/>
    <n v="0"/>
    <n v="0"/>
    <n v="0"/>
    <n v="0"/>
  </r>
  <r>
    <x v="17"/>
    <n v="0"/>
    <n v="0"/>
    <x v="18"/>
    <n v="0"/>
    <n v="0"/>
    <n v="0"/>
    <n v="0"/>
    <n v="0"/>
    <n v="773771.45"/>
    <n v="0"/>
    <n v="0"/>
    <n v="0"/>
    <n v="0"/>
    <n v="0"/>
    <n v="0"/>
  </r>
  <r>
    <x v="17"/>
    <n v="0"/>
    <n v="0"/>
    <x v="0"/>
    <n v="851748.02"/>
    <n v="0"/>
    <n v="0"/>
    <n v="0"/>
    <n v="0"/>
    <n v="851748.02"/>
    <n v="0"/>
    <n v="0"/>
    <n v="0"/>
    <n v="0"/>
    <n v="0"/>
    <n v="0"/>
  </r>
  <r>
    <x v="17"/>
    <n v="0"/>
    <n v="0"/>
    <x v="0"/>
    <n v="0"/>
    <n v="0"/>
    <n v="0"/>
    <n v="0"/>
    <n v="0"/>
    <n v="0"/>
    <n v="0"/>
    <n v="0"/>
    <n v="0"/>
    <n v="0"/>
    <n v="0"/>
    <n v="0"/>
  </r>
  <r>
    <x v="17"/>
    <n v="0"/>
    <n v="0"/>
    <x v="0"/>
    <n v="0"/>
    <n v="0"/>
    <n v="1685165.22"/>
    <n v="0"/>
    <n v="0"/>
    <n v="1685165.22"/>
    <n v="0"/>
    <n v="0"/>
    <n v="0"/>
    <n v="0"/>
    <n v="0"/>
    <n v="0"/>
  </r>
  <r>
    <x v="17"/>
    <n v="0"/>
    <n v="0"/>
    <x v="0"/>
    <n v="0"/>
    <n v="0"/>
    <n v="0"/>
    <n v="0"/>
    <n v="0"/>
    <n v="0"/>
    <n v="0"/>
    <n v="0"/>
    <n v="0"/>
    <n v="0"/>
    <n v="0"/>
    <n v="0"/>
  </r>
  <r>
    <x v="17"/>
    <n v="0"/>
    <n v="0"/>
    <x v="0"/>
    <n v="0"/>
    <n v="0"/>
    <n v="0"/>
    <n v="0"/>
    <n v="0"/>
    <n v="0"/>
    <n v="0"/>
    <n v="0"/>
    <n v="0"/>
    <n v="0"/>
    <n v="0"/>
    <n v="0"/>
  </r>
  <r>
    <x v="17"/>
    <n v="0"/>
    <n v="0"/>
    <x v="0"/>
    <n v="0"/>
    <n v="0"/>
    <n v="0"/>
    <n v="0"/>
    <n v="0"/>
    <n v="0"/>
    <n v="0"/>
    <n v="0"/>
    <n v="0"/>
    <n v="0"/>
    <n v="0"/>
    <n v="0"/>
  </r>
  <r>
    <x v="17"/>
    <n v="0"/>
    <n v="0"/>
    <x v="0"/>
    <n v="0"/>
    <n v="0"/>
    <n v="0"/>
    <n v="0"/>
    <n v="0"/>
    <n v="0"/>
    <n v="0"/>
    <n v="7501.78"/>
    <n v="0"/>
    <n v="0"/>
    <n v="0"/>
    <n v="7501.78"/>
  </r>
  <r>
    <x v="17"/>
    <n v="0"/>
    <n v="0"/>
    <x v="0"/>
    <n v="0"/>
    <n v="0"/>
    <n v="0"/>
    <n v="0"/>
    <n v="0"/>
    <n v="0"/>
    <n v="0"/>
    <n v="0"/>
    <n v="20667.22"/>
    <n v="0"/>
    <n v="0"/>
    <n v="20667.22"/>
  </r>
  <r>
    <x v="17"/>
    <n v="0"/>
    <n v="0"/>
    <x v="0"/>
    <n v="0"/>
    <n v="0"/>
    <n v="0"/>
    <n v="0"/>
    <n v="0"/>
    <n v="0"/>
    <n v="0"/>
    <n v="0"/>
    <n v="0"/>
    <n v="0"/>
    <n v="-77377.149999999994"/>
    <n v="-77377.149999999994"/>
  </r>
  <r>
    <x v="18"/>
    <n v="3468608.15"/>
    <n v="0"/>
    <x v="0"/>
    <n v="0"/>
    <n v="0"/>
    <n v="0"/>
    <n v="0"/>
    <n v="0"/>
    <n v="3468608.15"/>
    <n v="0"/>
    <n v="0"/>
    <n v="0"/>
    <n v="0"/>
    <n v="0"/>
    <n v="0"/>
  </r>
  <r>
    <x v="18"/>
    <n v="0"/>
    <n v="147360.97"/>
    <x v="0"/>
    <n v="0"/>
    <n v="0"/>
    <n v="0"/>
    <n v="0"/>
    <n v="0"/>
    <n v="147360.97"/>
    <n v="0"/>
    <n v="0"/>
    <n v="0"/>
    <n v="0"/>
    <n v="0"/>
    <n v="0"/>
  </r>
  <r>
    <x v="18"/>
    <n v="0"/>
    <n v="0"/>
    <x v="19"/>
    <n v="0"/>
    <n v="0"/>
    <n v="0"/>
    <n v="0"/>
    <n v="0"/>
    <n v="428698.44"/>
    <n v="0"/>
    <n v="0"/>
    <n v="0"/>
    <n v="0"/>
    <n v="0"/>
    <n v="0"/>
  </r>
  <r>
    <x v="18"/>
    <n v="0"/>
    <n v="0"/>
    <x v="0"/>
    <n v="26442.99"/>
    <n v="0"/>
    <n v="0"/>
    <n v="0"/>
    <n v="0"/>
    <n v="26442.99"/>
    <n v="0"/>
    <n v="0"/>
    <n v="0"/>
    <n v="0"/>
    <n v="0"/>
    <n v="0"/>
  </r>
  <r>
    <x v="18"/>
    <n v="0"/>
    <n v="0"/>
    <x v="0"/>
    <n v="0"/>
    <n v="950.88"/>
    <n v="0"/>
    <n v="0"/>
    <n v="0"/>
    <n v="950.88"/>
    <n v="0"/>
    <n v="0"/>
    <n v="0"/>
    <n v="0"/>
    <n v="0"/>
    <n v="0"/>
  </r>
  <r>
    <x v="18"/>
    <n v="0"/>
    <n v="0"/>
    <x v="0"/>
    <n v="0"/>
    <n v="0"/>
    <n v="1387265.76"/>
    <n v="0"/>
    <n v="0"/>
    <n v="1387265.76"/>
    <n v="0"/>
    <n v="0"/>
    <n v="0"/>
    <n v="0"/>
    <n v="0"/>
    <n v="0"/>
  </r>
  <r>
    <x v="18"/>
    <n v="0"/>
    <n v="0"/>
    <x v="0"/>
    <n v="0"/>
    <n v="0"/>
    <n v="0"/>
    <n v="0"/>
    <n v="0"/>
    <n v="0"/>
    <n v="0"/>
    <n v="0"/>
    <n v="0"/>
    <n v="0"/>
    <n v="0"/>
    <n v="0"/>
  </r>
  <r>
    <x v="18"/>
    <n v="0"/>
    <n v="0"/>
    <x v="0"/>
    <n v="0"/>
    <n v="0"/>
    <n v="0"/>
    <n v="0"/>
    <n v="0"/>
    <n v="0"/>
    <n v="0"/>
    <n v="0"/>
    <n v="0"/>
    <n v="0"/>
    <n v="0"/>
    <n v="0"/>
  </r>
  <r>
    <x v="18"/>
    <n v="0"/>
    <n v="0"/>
    <x v="0"/>
    <n v="0"/>
    <n v="0"/>
    <n v="0"/>
    <n v="0"/>
    <n v="0"/>
    <n v="0"/>
    <n v="0"/>
    <n v="0"/>
    <n v="0"/>
    <n v="0"/>
    <n v="0"/>
    <n v="0"/>
  </r>
  <r>
    <x v="18"/>
    <n v="0"/>
    <n v="0"/>
    <x v="0"/>
    <n v="0"/>
    <n v="0"/>
    <n v="0"/>
    <n v="0"/>
    <n v="0"/>
    <n v="0"/>
    <n v="0"/>
    <n v="33509"/>
    <n v="0"/>
    <n v="0"/>
    <n v="0"/>
    <n v="33509"/>
  </r>
  <r>
    <x v="18"/>
    <n v="0"/>
    <n v="0"/>
    <x v="0"/>
    <n v="0"/>
    <n v="0"/>
    <n v="0"/>
    <n v="0"/>
    <n v="0"/>
    <n v="0"/>
    <n v="0"/>
    <n v="0"/>
    <n v="68384.59"/>
    <n v="0"/>
    <n v="0"/>
    <n v="68384.59"/>
  </r>
  <r>
    <x v="18"/>
    <n v="0"/>
    <n v="0"/>
    <x v="0"/>
    <n v="0"/>
    <n v="0"/>
    <n v="0"/>
    <n v="0"/>
    <n v="0"/>
    <n v="0"/>
    <n v="0"/>
    <n v="0"/>
    <n v="0"/>
    <n v="0"/>
    <n v="-42869.84"/>
    <n v="-42869.84"/>
  </r>
  <r>
    <x v="19"/>
    <n v="4727596.07"/>
    <n v="0"/>
    <x v="0"/>
    <n v="0"/>
    <n v="0"/>
    <n v="0"/>
    <n v="0"/>
    <n v="0"/>
    <n v="4727596.07"/>
    <n v="0"/>
    <n v="0"/>
    <n v="0"/>
    <n v="0"/>
    <n v="0"/>
    <n v="0"/>
  </r>
  <r>
    <x v="19"/>
    <n v="0"/>
    <n v="200369.07"/>
    <x v="0"/>
    <n v="0"/>
    <n v="0"/>
    <n v="0"/>
    <n v="0"/>
    <n v="0"/>
    <n v="200369.07"/>
    <n v="0"/>
    <n v="0"/>
    <n v="0"/>
    <n v="0"/>
    <n v="0"/>
    <n v="0"/>
  </r>
  <r>
    <x v="19"/>
    <n v="0"/>
    <n v="0"/>
    <x v="20"/>
    <n v="0"/>
    <n v="0"/>
    <n v="0"/>
    <n v="0"/>
    <n v="0"/>
    <n v="950900.65"/>
    <n v="0"/>
    <n v="0"/>
    <n v="0"/>
    <n v="0"/>
    <n v="0"/>
    <n v="0"/>
  </r>
  <r>
    <x v="19"/>
    <n v="0"/>
    <n v="0"/>
    <x v="0"/>
    <n v="68422.75"/>
    <n v="0"/>
    <n v="0"/>
    <n v="0"/>
    <n v="0"/>
    <n v="68422.75"/>
    <n v="0"/>
    <n v="0"/>
    <n v="0"/>
    <n v="0"/>
    <n v="0"/>
    <n v="0"/>
  </r>
  <r>
    <x v="19"/>
    <n v="0"/>
    <n v="0"/>
    <x v="0"/>
    <n v="0"/>
    <n v="1336.01"/>
    <n v="0"/>
    <n v="0"/>
    <n v="0"/>
    <n v="1336.01"/>
    <n v="0"/>
    <n v="0"/>
    <n v="0"/>
    <n v="0"/>
    <n v="0"/>
    <n v="0"/>
  </r>
  <r>
    <x v="19"/>
    <n v="0"/>
    <n v="0"/>
    <x v="0"/>
    <n v="0"/>
    <n v="0"/>
    <n v="1519448.05"/>
    <n v="0"/>
    <n v="0"/>
    <n v="1519448.05"/>
    <n v="0"/>
    <n v="0"/>
    <n v="0"/>
    <n v="0"/>
    <n v="0"/>
    <n v="0"/>
  </r>
  <r>
    <x v="19"/>
    <n v="0"/>
    <n v="0"/>
    <x v="0"/>
    <n v="0"/>
    <n v="0"/>
    <n v="0"/>
    <n v="0"/>
    <n v="0"/>
    <n v="0"/>
    <n v="0"/>
    <n v="0"/>
    <n v="0"/>
    <n v="0"/>
    <n v="0"/>
    <n v="0"/>
  </r>
  <r>
    <x v="19"/>
    <n v="0"/>
    <n v="0"/>
    <x v="0"/>
    <n v="0"/>
    <n v="0"/>
    <n v="0"/>
    <n v="0"/>
    <n v="0"/>
    <n v="0"/>
    <n v="0"/>
    <n v="0"/>
    <n v="0"/>
    <n v="0"/>
    <n v="0"/>
    <n v="0"/>
  </r>
  <r>
    <x v="19"/>
    <n v="0"/>
    <n v="0"/>
    <x v="0"/>
    <n v="0"/>
    <n v="0"/>
    <n v="0"/>
    <n v="0"/>
    <n v="0"/>
    <n v="0"/>
    <n v="0"/>
    <n v="0"/>
    <n v="0"/>
    <n v="0"/>
    <n v="0"/>
    <n v="0"/>
  </r>
  <r>
    <x v="19"/>
    <n v="0"/>
    <n v="0"/>
    <x v="0"/>
    <n v="0"/>
    <n v="0"/>
    <n v="0"/>
    <n v="0"/>
    <n v="0"/>
    <n v="0"/>
    <n v="0"/>
    <n v="53187.31"/>
    <n v="0"/>
    <n v="0"/>
    <n v="0"/>
    <n v="53187.31"/>
  </r>
  <r>
    <x v="19"/>
    <n v="0"/>
    <n v="0"/>
    <x v="0"/>
    <n v="0"/>
    <n v="0"/>
    <n v="0"/>
    <n v="0"/>
    <n v="0"/>
    <n v="0"/>
    <n v="0"/>
    <n v="0"/>
    <n v="82165.05"/>
    <n v="0"/>
    <n v="0"/>
    <n v="82165.05"/>
  </r>
  <r>
    <x v="19"/>
    <n v="0"/>
    <n v="0"/>
    <x v="0"/>
    <n v="0"/>
    <n v="0"/>
    <n v="0"/>
    <n v="0"/>
    <n v="0"/>
    <n v="0"/>
    <n v="0"/>
    <n v="0"/>
    <n v="0"/>
    <n v="0"/>
    <n v="-95090.07"/>
    <n v="-95090.07"/>
  </r>
  <r>
    <x v="20"/>
    <n v="2535889.71"/>
    <n v="0"/>
    <x v="0"/>
    <n v="0"/>
    <n v="0"/>
    <n v="0"/>
    <n v="0"/>
    <n v="0"/>
    <n v="2535889.71"/>
    <n v="0"/>
    <n v="0"/>
    <n v="0"/>
    <n v="0"/>
    <n v="0"/>
    <n v="0"/>
  </r>
  <r>
    <x v="20"/>
    <n v="0"/>
    <n v="102092.28"/>
    <x v="0"/>
    <n v="0"/>
    <n v="0"/>
    <n v="0"/>
    <n v="0"/>
    <n v="0"/>
    <n v="102092.28"/>
    <n v="0"/>
    <n v="0"/>
    <n v="0"/>
    <n v="0"/>
    <n v="0"/>
    <n v="0"/>
  </r>
  <r>
    <x v="20"/>
    <n v="0"/>
    <n v="0"/>
    <x v="21"/>
    <n v="0"/>
    <n v="0"/>
    <n v="0"/>
    <n v="0"/>
    <n v="0"/>
    <n v="696209.58"/>
    <n v="0"/>
    <n v="0"/>
    <n v="0"/>
    <n v="0"/>
    <n v="0"/>
    <n v="0"/>
  </r>
  <r>
    <x v="20"/>
    <n v="0"/>
    <n v="0"/>
    <x v="0"/>
    <n v="142577.44"/>
    <n v="0"/>
    <n v="0"/>
    <n v="0"/>
    <n v="0"/>
    <n v="142577.44"/>
    <n v="0"/>
    <n v="0"/>
    <n v="0"/>
    <n v="0"/>
    <n v="0"/>
    <n v="0"/>
  </r>
  <r>
    <x v="20"/>
    <n v="0"/>
    <n v="0"/>
    <x v="0"/>
    <n v="0"/>
    <n v="959.82"/>
    <n v="0"/>
    <n v="0"/>
    <n v="0"/>
    <n v="959.82"/>
    <n v="0"/>
    <n v="0"/>
    <n v="0"/>
    <n v="0"/>
    <n v="0"/>
    <n v="0"/>
  </r>
  <r>
    <x v="20"/>
    <n v="0"/>
    <n v="0"/>
    <x v="0"/>
    <n v="0"/>
    <n v="0"/>
    <n v="1552325.6"/>
    <n v="0"/>
    <n v="0"/>
    <n v="1552325.6"/>
    <n v="0"/>
    <n v="0"/>
    <n v="0"/>
    <n v="0"/>
    <n v="0"/>
    <n v="0"/>
  </r>
  <r>
    <x v="20"/>
    <n v="0"/>
    <n v="0"/>
    <x v="0"/>
    <n v="0"/>
    <n v="0"/>
    <n v="0"/>
    <n v="0"/>
    <n v="0"/>
    <n v="0"/>
    <n v="0"/>
    <n v="0"/>
    <n v="0"/>
    <n v="0"/>
    <n v="0"/>
    <n v="0"/>
  </r>
  <r>
    <x v="20"/>
    <n v="0"/>
    <n v="0"/>
    <x v="0"/>
    <n v="0"/>
    <n v="0"/>
    <n v="0"/>
    <n v="0"/>
    <n v="0"/>
    <n v="0"/>
    <n v="0"/>
    <n v="0"/>
    <n v="0"/>
    <n v="0"/>
    <n v="0"/>
    <n v="0"/>
  </r>
  <r>
    <x v="20"/>
    <n v="0"/>
    <n v="0"/>
    <x v="0"/>
    <n v="0"/>
    <n v="0"/>
    <n v="0"/>
    <n v="0"/>
    <n v="0"/>
    <n v="0"/>
    <n v="0"/>
    <n v="0"/>
    <n v="0"/>
    <n v="0"/>
    <n v="0"/>
    <n v="0"/>
  </r>
  <r>
    <x v="20"/>
    <n v="0"/>
    <n v="0"/>
    <x v="0"/>
    <n v="0"/>
    <n v="0"/>
    <n v="0"/>
    <n v="0"/>
    <n v="0"/>
    <n v="0"/>
    <n v="0"/>
    <n v="32932.01"/>
    <n v="0"/>
    <n v="0"/>
    <n v="0"/>
    <n v="32932.01"/>
  </r>
  <r>
    <x v="20"/>
    <n v="0"/>
    <n v="0"/>
    <x v="0"/>
    <n v="0"/>
    <n v="0"/>
    <n v="0"/>
    <n v="0"/>
    <n v="0"/>
    <n v="0"/>
    <n v="0"/>
    <n v="0"/>
    <n v="52487.24"/>
    <n v="0"/>
    <n v="0"/>
    <n v="52487.24"/>
  </r>
  <r>
    <x v="20"/>
    <n v="0"/>
    <n v="0"/>
    <x v="0"/>
    <n v="0"/>
    <n v="0"/>
    <n v="0"/>
    <n v="0"/>
    <n v="0"/>
    <n v="0"/>
    <n v="0"/>
    <n v="0"/>
    <n v="0"/>
    <n v="0"/>
    <n v="-69620.960000000006"/>
    <n v="-69620.960000000006"/>
  </r>
  <r>
    <x v="21"/>
    <n v="9368300.5299999993"/>
    <n v="0"/>
    <x v="0"/>
    <n v="0"/>
    <n v="0"/>
    <n v="0"/>
    <n v="0"/>
    <n v="0"/>
    <n v="9368300.5299999993"/>
    <n v="0"/>
    <n v="0"/>
    <n v="0"/>
    <n v="0"/>
    <n v="0"/>
    <n v="0"/>
  </r>
  <r>
    <x v="21"/>
    <n v="0"/>
    <n v="405045.05"/>
    <x v="0"/>
    <n v="0"/>
    <n v="0"/>
    <n v="0"/>
    <n v="0"/>
    <n v="0"/>
    <n v="405045.05"/>
    <n v="0"/>
    <n v="0"/>
    <n v="0"/>
    <n v="0"/>
    <n v="0"/>
    <n v="0"/>
  </r>
  <r>
    <x v="21"/>
    <n v="0"/>
    <n v="0"/>
    <x v="22"/>
    <n v="0"/>
    <n v="0"/>
    <n v="0"/>
    <n v="0"/>
    <n v="0"/>
    <n v="1338096.1200000001"/>
    <n v="0"/>
    <n v="0"/>
    <n v="0"/>
    <n v="0"/>
    <n v="0"/>
    <n v="0"/>
  </r>
  <r>
    <x v="21"/>
    <n v="0"/>
    <n v="0"/>
    <x v="0"/>
    <n v="73061.25"/>
    <n v="0"/>
    <n v="0"/>
    <n v="0"/>
    <n v="0"/>
    <n v="73061.25"/>
    <n v="0"/>
    <n v="0"/>
    <n v="0"/>
    <n v="0"/>
    <n v="0"/>
    <n v="0"/>
  </r>
  <r>
    <x v="21"/>
    <n v="0"/>
    <n v="0"/>
    <x v="0"/>
    <n v="0"/>
    <n v="1235.01"/>
    <n v="0"/>
    <n v="0"/>
    <n v="0"/>
    <n v="1235.01"/>
    <n v="0"/>
    <n v="0"/>
    <n v="0"/>
    <n v="0"/>
    <n v="0"/>
    <n v="0"/>
  </r>
  <r>
    <x v="21"/>
    <n v="0"/>
    <n v="0"/>
    <x v="0"/>
    <n v="0"/>
    <n v="0"/>
    <n v="5107613.38"/>
    <n v="0"/>
    <n v="0"/>
    <n v="5107613.38"/>
    <n v="0"/>
    <n v="0"/>
    <n v="0"/>
    <n v="0"/>
    <n v="0"/>
    <n v="0"/>
  </r>
  <r>
    <x v="21"/>
    <n v="0"/>
    <n v="0"/>
    <x v="0"/>
    <n v="0"/>
    <n v="0"/>
    <n v="0"/>
    <n v="0"/>
    <n v="0"/>
    <n v="0"/>
    <n v="0"/>
    <n v="0"/>
    <n v="0"/>
    <n v="0"/>
    <n v="0"/>
    <n v="0"/>
  </r>
  <r>
    <x v="21"/>
    <n v="0"/>
    <n v="0"/>
    <x v="0"/>
    <n v="0"/>
    <n v="0"/>
    <n v="0"/>
    <n v="0"/>
    <n v="0"/>
    <n v="0"/>
    <n v="0"/>
    <n v="0"/>
    <n v="0"/>
    <n v="0"/>
    <n v="0"/>
    <n v="0"/>
  </r>
  <r>
    <x v="21"/>
    <n v="0"/>
    <n v="0"/>
    <x v="0"/>
    <n v="0"/>
    <n v="0"/>
    <n v="0"/>
    <n v="0"/>
    <n v="0"/>
    <n v="0"/>
    <n v="0"/>
    <n v="0"/>
    <n v="0"/>
    <n v="0"/>
    <n v="0"/>
    <n v="0"/>
  </r>
  <r>
    <x v="21"/>
    <n v="0"/>
    <n v="0"/>
    <x v="0"/>
    <n v="0"/>
    <n v="0"/>
    <n v="0"/>
    <n v="0"/>
    <n v="0"/>
    <n v="0"/>
    <n v="0"/>
    <n v="66943.759999999995"/>
    <n v="0"/>
    <n v="0"/>
    <n v="0"/>
    <n v="66943.759999999995"/>
  </r>
  <r>
    <x v="21"/>
    <n v="0"/>
    <n v="0"/>
    <x v="0"/>
    <n v="0"/>
    <n v="0"/>
    <n v="0"/>
    <n v="0"/>
    <n v="0"/>
    <n v="0"/>
    <n v="0"/>
    <n v="0"/>
    <n v="120420.5"/>
    <n v="0"/>
    <n v="0"/>
    <n v="120420.5"/>
  </r>
  <r>
    <x v="21"/>
    <n v="0"/>
    <n v="0"/>
    <x v="0"/>
    <n v="0"/>
    <n v="0"/>
    <n v="0"/>
    <n v="0"/>
    <n v="0"/>
    <n v="0"/>
    <n v="0"/>
    <n v="0"/>
    <n v="0"/>
    <n v="0"/>
    <n v="-133809.60999999999"/>
    <n v="-133809.60999999999"/>
  </r>
  <r>
    <x v="22"/>
    <n v="4784154.7"/>
    <n v="0"/>
    <x v="0"/>
    <n v="0"/>
    <n v="0"/>
    <n v="0"/>
    <n v="0"/>
    <n v="0"/>
    <n v="4784154.7"/>
    <n v="0"/>
    <n v="0"/>
    <n v="0"/>
    <n v="0"/>
    <n v="0"/>
    <n v="0"/>
  </r>
  <r>
    <x v="22"/>
    <n v="0"/>
    <n v="204245.57"/>
    <x v="0"/>
    <n v="0"/>
    <n v="0"/>
    <n v="0"/>
    <n v="0"/>
    <n v="0"/>
    <n v="204245.57"/>
    <n v="0"/>
    <n v="0"/>
    <n v="0"/>
    <n v="0"/>
    <n v="0"/>
    <n v="0"/>
  </r>
  <r>
    <x v="22"/>
    <n v="0"/>
    <n v="0"/>
    <x v="23"/>
    <n v="0"/>
    <n v="0"/>
    <n v="0"/>
    <n v="0"/>
    <n v="0"/>
    <n v="1076005.99"/>
    <n v="0"/>
    <n v="0"/>
    <n v="0"/>
    <n v="0"/>
    <n v="0"/>
    <n v="0"/>
  </r>
  <r>
    <x v="22"/>
    <n v="0"/>
    <n v="0"/>
    <x v="0"/>
    <n v="176998.95"/>
    <n v="0"/>
    <n v="0"/>
    <n v="0"/>
    <n v="0"/>
    <n v="176998.95"/>
    <n v="0"/>
    <n v="0"/>
    <n v="0"/>
    <n v="0"/>
    <n v="0"/>
    <n v="0"/>
  </r>
  <r>
    <x v="22"/>
    <n v="0"/>
    <n v="0"/>
    <x v="0"/>
    <n v="0"/>
    <n v="0"/>
    <n v="0"/>
    <n v="0"/>
    <n v="0"/>
    <n v="0"/>
    <n v="0"/>
    <n v="0"/>
    <n v="0"/>
    <n v="0"/>
    <n v="0"/>
    <n v="0"/>
  </r>
  <r>
    <x v="22"/>
    <n v="0"/>
    <n v="0"/>
    <x v="0"/>
    <n v="0"/>
    <n v="0"/>
    <n v="2469791.33"/>
    <n v="0"/>
    <n v="0"/>
    <n v="2469791.33"/>
    <n v="0"/>
    <n v="0"/>
    <n v="0"/>
    <n v="0"/>
    <n v="0"/>
    <n v="0"/>
  </r>
  <r>
    <x v="22"/>
    <n v="0"/>
    <n v="0"/>
    <x v="0"/>
    <n v="0"/>
    <n v="0"/>
    <n v="0"/>
    <n v="0"/>
    <n v="0"/>
    <n v="0"/>
    <n v="0"/>
    <n v="0"/>
    <n v="0"/>
    <n v="0"/>
    <n v="0"/>
    <n v="0"/>
  </r>
  <r>
    <x v="22"/>
    <n v="0"/>
    <n v="0"/>
    <x v="0"/>
    <n v="0"/>
    <n v="0"/>
    <n v="0"/>
    <n v="0"/>
    <n v="1871.99"/>
    <n v="1871.99"/>
    <n v="0"/>
    <n v="0"/>
    <n v="0"/>
    <n v="0"/>
    <n v="0"/>
    <n v="0"/>
  </r>
  <r>
    <x v="22"/>
    <n v="0"/>
    <n v="0"/>
    <x v="0"/>
    <n v="0"/>
    <n v="0"/>
    <n v="0"/>
    <n v="0"/>
    <n v="0"/>
    <n v="0"/>
    <n v="0"/>
    <n v="0"/>
    <n v="0"/>
    <n v="0"/>
    <n v="0"/>
    <n v="0"/>
  </r>
  <r>
    <x v="22"/>
    <n v="0"/>
    <n v="0"/>
    <x v="0"/>
    <n v="0"/>
    <n v="0"/>
    <n v="0"/>
    <n v="0"/>
    <n v="0"/>
    <n v="0"/>
    <n v="0"/>
    <n v="45562.74"/>
    <n v="0"/>
    <n v="0"/>
    <n v="0"/>
    <n v="45562.74"/>
  </r>
  <r>
    <x v="22"/>
    <n v="0"/>
    <n v="0"/>
    <x v="0"/>
    <n v="0"/>
    <n v="0"/>
    <n v="0"/>
    <n v="0"/>
    <n v="0"/>
    <n v="0"/>
    <n v="0"/>
    <n v="0"/>
    <n v="56312.6"/>
    <n v="0"/>
    <n v="0"/>
    <n v="56312.6"/>
  </r>
  <r>
    <x v="22"/>
    <n v="0"/>
    <n v="0"/>
    <x v="0"/>
    <n v="0"/>
    <n v="0"/>
    <n v="0"/>
    <n v="0"/>
    <n v="0"/>
    <n v="0"/>
    <n v="0"/>
    <n v="0"/>
    <n v="0"/>
    <n v="0"/>
    <n v="-84465.26"/>
    <n v="-84465.26"/>
  </r>
  <r>
    <x v="23"/>
    <n v="3876674.7"/>
    <n v="0"/>
    <x v="0"/>
    <n v="0"/>
    <n v="0"/>
    <n v="0"/>
    <n v="0"/>
    <n v="0"/>
    <n v="3876674.7"/>
    <n v="0"/>
    <n v="0"/>
    <n v="0"/>
    <n v="0"/>
    <n v="0"/>
    <n v="0"/>
  </r>
  <r>
    <x v="23"/>
    <n v="0"/>
    <n v="164289.45000000001"/>
    <x v="0"/>
    <n v="0"/>
    <n v="0"/>
    <n v="0"/>
    <n v="0"/>
    <n v="0"/>
    <n v="164289.45000000001"/>
    <n v="0"/>
    <n v="0"/>
    <n v="0"/>
    <n v="0"/>
    <n v="0"/>
    <n v="0"/>
  </r>
  <r>
    <x v="23"/>
    <n v="0"/>
    <n v="0"/>
    <x v="24"/>
    <n v="0"/>
    <n v="0"/>
    <n v="0"/>
    <n v="0"/>
    <n v="0"/>
    <n v="740297.87"/>
    <n v="0"/>
    <n v="0"/>
    <n v="0"/>
    <n v="0"/>
    <n v="0"/>
    <n v="0"/>
  </r>
  <r>
    <x v="23"/>
    <n v="0"/>
    <n v="0"/>
    <x v="0"/>
    <n v="14984.97"/>
    <n v="0"/>
    <n v="0"/>
    <n v="0"/>
    <n v="0"/>
    <n v="14984.97"/>
    <n v="0"/>
    <n v="0"/>
    <n v="0"/>
    <n v="0"/>
    <n v="0"/>
    <n v="0"/>
  </r>
  <r>
    <x v="23"/>
    <n v="0"/>
    <n v="0"/>
    <x v="0"/>
    <n v="0"/>
    <n v="227.77"/>
    <n v="0"/>
    <n v="0"/>
    <n v="0"/>
    <n v="227.77"/>
    <n v="0"/>
    <n v="0"/>
    <n v="0"/>
    <n v="0"/>
    <n v="0"/>
    <n v="0"/>
  </r>
  <r>
    <x v="23"/>
    <n v="0"/>
    <n v="0"/>
    <x v="0"/>
    <n v="0"/>
    <n v="0"/>
    <n v="2323053.2799999998"/>
    <n v="0"/>
    <n v="0"/>
    <n v="2323053.2799999998"/>
    <n v="0"/>
    <n v="0"/>
    <n v="0"/>
    <n v="0"/>
    <n v="0"/>
    <n v="0"/>
  </r>
  <r>
    <x v="23"/>
    <n v="0"/>
    <n v="0"/>
    <x v="0"/>
    <n v="0"/>
    <n v="0"/>
    <n v="0"/>
    <n v="0"/>
    <n v="0"/>
    <n v="0"/>
    <n v="0"/>
    <n v="0"/>
    <n v="0"/>
    <n v="0"/>
    <n v="0"/>
    <n v="0"/>
  </r>
  <r>
    <x v="23"/>
    <n v="0"/>
    <n v="0"/>
    <x v="0"/>
    <n v="0"/>
    <n v="0"/>
    <n v="0"/>
    <n v="0"/>
    <n v="0"/>
    <n v="0"/>
    <n v="0"/>
    <n v="0"/>
    <n v="0"/>
    <n v="0"/>
    <n v="0"/>
    <n v="0"/>
  </r>
  <r>
    <x v="23"/>
    <n v="0"/>
    <n v="0"/>
    <x v="0"/>
    <n v="0"/>
    <n v="0"/>
    <n v="0"/>
    <n v="0"/>
    <n v="0"/>
    <n v="0"/>
    <n v="0"/>
    <n v="0"/>
    <n v="0"/>
    <n v="0"/>
    <n v="0"/>
    <n v="0"/>
  </r>
  <r>
    <x v="23"/>
    <n v="0"/>
    <n v="0"/>
    <x v="0"/>
    <n v="0"/>
    <n v="0"/>
    <n v="0"/>
    <n v="0"/>
    <n v="0"/>
    <n v="0"/>
    <n v="0"/>
    <n v="37700.68"/>
    <n v="0"/>
    <n v="0"/>
    <n v="0"/>
    <n v="37700.68"/>
  </r>
  <r>
    <x v="23"/>
    <n v="0"/>
    <n v="0"/>
    <x v="0"/>
    <n v="0"/>
    <n v="0"/>
    <n v="0"/>
    <n v="0"/>
    <n v="0"/>
    <n v="0"/>
    <n v="0"/>
    <n v="0"/>
    <n v="49587.17"/>
    <n v="0"/>
    <n v="0"/>
    <n v="49587.17"/>
  </r>
  <r>
    <x v="23"/>
    <n v="0"/>
    <n v="0"/>
    <x v="0"/>
    <n v="0"/>
    <n v="0"/>
    <n v="0"/>
    <n v="0"/>
    <n v="0"/>
    <n v="0"/>
    <n v="0"/>
    <n v="0"/>
    <n v="0"/>
    <n v="0"/>
    <n v="-74029.789999999994"/>
    <n v="-74029.789999999994"/>
  </r>
  <r>
    <x v="24"/>
    <n v="9771048.3699999992"/>
    <n v="0"/>
    <x v="0"/>
    <n v="0"/>
    <n v="0"/>
    <n v="0"/>
    <n v="0"/>
    <n v="0"/>
    <n v="9771048.3699999992"/>
    <n v="0"/>
    <n v="0"/>
    <n v="0"/>
    <n v="0"/>
    <n v="0"/>
    <n v="0"/>
  </r>
  <r>
    <x v="24"/>
    <n v="0"/>
    <n v="417914.63"/>
    <x v="0"/>
    <n v="0"/>
    <n v="0"/>
    <n v="0"/>
    <n v="0"/>
    <n v="0"/>
    <n v="417914.63"/>
    <n v="0"/>
    <n v="0"/>
    <n v="0"/>
    <n v="0"/>
    <n v="0"/>
    <n v="0"/>
  </r>
  <r>
    <x v="24"/>
    <n v="0"/>
    <n v="0"/>
    <x v="25"/>
    <n v="0"/>
    <n v="0"/>
    <n v="0"/>
    <n v="0"/>
    <n v="0"/>
    <n v="2393010.58"/>
    <n v="0"/>
    <n v="0"/>
    <n v="0"/>
    <n v="0"/>
    <n v="0"/>
    <n v="0"/>
  </r>
  <r>
    <x v="24"/>
    <n v="0"/>
    <n v="0"/>
    <x v="0"/>
    <n v="160937.63"/>
    <n v="0"/>
    <n v="0"/>
    <n v="0"/>
    <n v="0"/>
    <n v="160937.63"/>
    <n v="0"/>
    <n v="0"/>
    <n v="0"/>
    <n v="0"/>
    <n v="0"/>
    <n v="0"/>
  </r>
  <r>
    <x v="24"/>
    <n v="0"/>
    <n v="0"/>
    <x v="0"/>
    <n v="0"/>
    <n v="518.72"/>
    <n v="0"/>
    <n v="0"/>
    <n v="0"/>
    <n v="518.72"/>
    <n v="0"/>
    <n v="0"/>
    <n v="0"/>
    <n v="0"/>
    <n v="0"/>
    <n v="0"/>
  </r>
  <r>
    <x v="24"/>
    <n v="0"/>
    <n v="0"/>
    <x v="0"/>
    <n v="0"/>
    <n v="0"/>
    <n v="4783444.2"/>
    <n v="0"/>
    <n v="0"/>
    <n v="4783444.2"/>
    <n v="0"/>
    <n v="0"/>
    <n v="0"/>
    <n v="0"/>
    <n v="0"/>
    <n v="0"/>
  </r>
  <r>
    <x v="24"/>
    <n v="0"/>
    <n v="0"/>
    <x v="0"/>
    <n v="0"/>
    <n v="0"/>
    <n v="0"/>
    <n v="0"/>
    <n v="0"/>
    <n v="0"/>
    <n v="0"/>
    <n v="0"/>
    <n v="0"/>
    <n v="0"/>
    <n v="0"/>
    <n v="0"/>
  </r>
  <r>
    <x v="24"/>
    <n v="0"/>
    <n v="0"/>
    <x v="0"/>
    <n v="0"/>
    <n v="0"/>
    <n v="0"/>
    <n v="0"/>
    <n v="0"/>
    <n v="0"/>
    <n v="0"/>
    <n v="0"/>
    <n v="0"/>
    <n v="0"/>
    <n v="0"/>
    <n v="0"/>
  </r>
  <r>
    <x v="24"/>
    <n v="0"/>
    <n v="0"/>
    <x v="0"/>
    <n v="0"/>
    <n v="0"/>
    <n v="0"/>
    <n v="0"/>
    <n v="0"/>
    <n v="0"/>
    <n v="0"/>
    <n v="0"/>
    <n v="0"/>
    <n v="0"/>
    <n v="0"/>
    <n v="0"/>
  </r>
  <r>
    <x v="24"/>
    <n v="0"/>
    <n v="0"/>
    <x v="0"/>
    <n v="0"/>
    <n v="0"/>
    <n v="0"/>
    <n v="0"/>
    <n v="0"/>
    <n v="0"/>
    <n v="0"/>
    <n v="103885.55"/>
    <n v="0"/>
    <n v="0"/>
    <n v="0"/>
    <n v="103885.55"/>
  </r>
  <r>
    <x v="24"/>
    <n v="0"/>
    <n v="0"/>
    <x v="0"/>
    <n v="0"/>
    <n v="0"/>
    <n v="0"/>
    <n v="0"/>
    <n v="0"/>
    <n v="0"/>
    <n v="0"/>
    <n v="0"/>
    <n v="115632.79"/>
    <n v="0"/>
    <n v="0"/>
    <n v="115632.79"/>
  </r>
  <r>
    <x v="24"/>
    <n v="0"/>
    <n v="0"/>
    <x v="0"/>
    <n v="0"/>
    <n v="0"/>
    <n v="0"/>
    <n v="0"/>
    <n v="0"/>
    <n v="0"/>
    <n v="0"/>
    <n v="0"/>
    <n v="0"/>
    <n v="0"/>
    <n v="-239301.06"/>
    <n v="-239301.06"/>
  </r>
  <r>
    <x v="25"/>
    <n v="2604304.7599999998"/>
    <n v="0"/>
    <x v="0"/>
    <n v="0"/>
    <n v="0"/>
    <n v="0"/>
    <n v="0"/>
    <n v="0"/>
    <n v="2604304.7599999998"/>
    <n v="0"/>
    <n v="0"/>
    <n v="0"/>
    <n v="0"/>
    <n v="0"/>
    <n v="0"/>
  </r>
  <r>
    <x v="25"/>
    <n v="0"/>
    <n v="93523.18"/>
    <x v="0"/>
    <n v="0"/>
    <n v="0"/>
    <n v="0"/>
    <n v="0"/>
    <n v="0"/>
    <n v="93523.18"/>
    <n v="0"/>
    <n v="0"/>
    <n v="0"/>
    <n v="0"/>
    <n v="0"/>
    <n v="0"/>
  </r>
  <r>
    <x v="25"/>
    <n v="0"/>
    <n v="0"/>
    <x v="26"/>
    <n v="0"/>
    <n v="0"/>
    <n v="0"/>
    <n v="0"/>
    <n v="0"/>
    <n v="761761.24"/>
    <n v="0"/>
    <n v="0"/>
    <n v="0"/>
    <n v="0"/>
    <n v="0"/>
    <n v="0"/>
  </r>
  <r>
    <x v="25"/>
    <n v="0"/>
    <n v="0"/>
    <x v="0"/>
    <n v="233169.57"/>
    <n v="0"/>
    <n v="0"/>
    <n v="0"/>
    <n v="0"/>
    <n v="233169.57"/>
    <n v="0"/>
    <n v="0"/>
    <n v="0"/>
    <n v="0"/>
    <n v="0"/>
    <n v="0"/>
  </r>
  <r>
    <x v="25"/>
    <n v="0"/>
    <n v="0"/>
    <x v="0"/>
    <n v="0"/>
    <n v="0"/>
    <n v="0"/>
    <n v="0"/>
    <n v="0"/>
    <n v="0"/>
    <n v="0"/>
    <n v="0"/>
    <n v="0"/>
    <n v="0"/>
    <n v="0"/>
    <n v="0"/>
  </r>
  <r>
    <x v="25"/>
    <n v="0"/>
    <n v="0"/>
    <x v="0"/>
    <n v="0"/>
    <n v="0"/>
    <n v="1189195.3600000001"/>
    <n v="0"/>
    <n v="0"/>
    <n v="1189195.3600000001"/>
    <n v="0"/>
    <n v="0"/>
    <n v="0"/>
    <n v="0"/>
    <n v="0"/>
    <n v="0"/>
  </r>
  <r>
    <x v="25"/>
    <n v="0"/>
    <n v="0"/>
    <x v="0"/>
    <n v="0"/>
    <n v="0"/>
    <n v="0"/>
    <n v="0"/>
    <n v="0"/>
    <n v="0"/>
    <n v="0"/>
    <n v="0"/>
    <n v="0"/>
    <n v="0"/>
    <n v="0"/>
    <n v="0"/>
  </r>
  <r>
    <x v="25"/>
    <n v="0"/>
    <n v="0"/>
    <x v="0"/>
    <n v="0"/>
    <n v="0"/>
    <n v="0"/>
    <n v="0"/>
    <n v="0"/>
    <n v="0"/>
    <n v="0"/>
    <n v="0"/>
    <n v="0"/>
    <n v="0"/>
    <n v="0"/>
    <n v="0"/>
  </r>
  <r>
    <x v="25"/>
    <n v="0"/>
    <n v="0"/>
    <x v="0"/>
    <n v="0"/>
    <n v="0"/>
    <n v="0"/>
    <n v="0"/>
    <n v="0"/>
    <n v="0"/>
    <n v="0"/>
    <n v="0"/>
    <n v="0"/>
    <n v="0"/>
    <n v="0"/>
    <n v="0"/>
  </r>
  <r>
    <x v="25"/>
    <n v="0"/>
    <n v="0"/>
    <x v="0"/>
    <n v="0"/>
    <n v="0"/>
    <n v="0"/>
    <n v="0"/>
    <n v="0"/>
    <n v="0"/>
    <n v="0"/>
    <n v="3983.54"/>
    <n v="0"/>
    <n v="0"/>
    <n v="0"/>
    <n v="3983.54"/>
  </r>
  <r>
    <x v="25"/>
    <n v="0"/>
    <n v="0"/>
    <x v="0"/>
    <n v="0"/>
    <n v="0"/>
    <n v="0"/>
    <n v="0"/>
    <n v="0"/>
    <n v="0"/>
    <n v="0"/>
    <n v="0"/>
    <n v="10784.23"/>
    <n v="0"/>
    <n v="0"/>
    <n v="10784.23"/>
  </r>
  <r>
    <x v="25"/>
    <n v="0"/>
    <n v="0"/>
    <x v="0"/>
    <n v="0"/>
    <n v="0"/>
    <n v="0"/>
    <n v="0"/>
    <n v="0"/>
    <n v="0"/>
    <n v="0"/>
    <n v="0"/>
    <n v="0"/>
    <n v="0"/>
    <n v="-76176.12"/>
    <n v="-76176.12"/>
  </r>
  <r>
    <x v="26"/>
    <n v="2870362.66"/>
    <n v="0"/>
    <x v="0"/>
    <n v="0"/>
    <n v="0"/>
    <n v="0"/>
    <n v="0"/>
    <n v="0"/>
    <n v="2870362.66"/>
    <n v="0"/>
    <n v="0"/>
    <n v="0"/>
    <n v="0"/>
    <n v="0"/>
    <n v="0"/>
  </r>
  <r>
    <x v="26"/>
    <n v="0"/>
    <n v="115771.79"/>
    <x v="0"/>
    <n v="0"/>
    <n v="0"/>
    <n v="0"/>
    <n v="0"/>
    <n v="0"/>
    <n v="115771.79"/>
    <n v="0"/>
    <n v="0"/>
    <n v="0"/>
    <n v="0"/>
    <n v="0"/>
    <n v="0"/>
  </r>
  <r>
    <x v="26"/>
    <n v="0"/>
    <n v="0"/>
    <x v="27"/>
    <n v="0"/>
    <n v="0"/>
    <n v="0"/>
    <n v="0"/>
    <n v="0"/>
    <n v="734160.96"/>
    <n v="0"/>
    <n v="0"/>
    <n v="0"/>
    <n v="0"/>
    <n v="0"/>
    <n v="0"/>
  </r>
  <r>
    <x v="26"/>
    <n v="0"/>
    <n v="0"/>
    <x v="0"/>
    <n v="98817.53"/>
    <n v="0"/>
    <n v="0"/>
    <n v="0"/>
    <n v="0"/>
    <n v="98817.53"/>
    <n v="0"/>
    <n v="0"/>
    <n v="0"/>
    <n v="0"/>
    <n v="0"/>
    <n v="0"/>
  </r>
  <r>
    <x v="26"/>
    <n v="0"/>
    <n v="0"/>
    <x v="0"/>
    <n v="0"/>
    <n v="0"/>
    <n v="0"/>
    <n v="0"/>
    <n v="0"/>
    <n v="0"/>
    <n v="0"/>
    <n v="0"/>
    <n v="0"/>
    <n v="0"/>
    <n v="0"/>
    <n v="0"/>
  </r>
  <r>
    <x v="26"/>
    <n v="0"/>
    <n v="0"/>
    <x v="0"/>
    <n v="0"/>
    <n v="0"/>
    <n v="1303518.07"/>
    <n v="0"/>
    <n v="0"/>
    <n v="1303518.07"/>
    <n v="0"/>
    <n v="0"/>
    <n v="0"/>
    <n v="0"/>
    <n v="0"/>
    <n v="0"/>
  </r>
  <r>
    <x v="26"/>
    <n v="0"/>
    <n v="0"/>
    <x v="0"/>
    <n v="0"/>
    <n v="0"/>
    <n v="0"/>
    <n v="0"/>
    <n v="0"/>
    <n v="0"/>
    <n v="0"/>
    <n v="0"/>
    <n v="0"/>
    <n v="0"/>
    <n v="0"/>
    <n v="0"/>
  </r>
  <r>
    <x v="26"/>
    <n v="0"/>
    <n v="0"/>
    <x v="0"/>
    <n v="0"/>
    <n v="0"/>
    <n v="0"/>
    <n v="0"/>
    <n v="0"/>
    <n v="0"/>
    <n v="0"/>
    <n v="0"/>
    <n v="0"/>
    <n v="0"/>
    <n v="0"/>
    <n v="0"/>
  </r>
  <r>
    <x v="26"/>
    <n v="0"/>
    <n v="0"/>
    <x v="0"/>
    <n v="0"/>
    <n v="0"/>
    <n v="0"/>
    <n v="0"/>
    <n v="0"/>
    <n v="0"/>
    <n v="0"/>
    <n v="0"/>
    <n v="0"/>
    <n v="0"/>
    <n v="0"/>
    <n v="0"/>
  </r>
  <r>
    <x v="26"/>
    <n v="0"/>
    <n v="0"/>
    <x v="0"/>
    <n v="0"/>
    <n v="0"/>
    <n v="0"/>
    <n v="0"/>
    <n v="0"/>
    <n v="0"/>
    <n v="0"/>
    <n v="68211.33"/>
    <n v="0"/>
    <n v="0"/>
    <n v="0"/>
    <n v="68211.33"/>
  </r>
  <r>
    <x v="26"/>
    <n v="0"/>
    <n v="0"/>
    <x v="0"/>
    <n v="0"/>
    <n v="0"/>
    <n v="0"/>
    <n v="0"/>
    <n v="0"/>
    <n v="0"/>
    <n v="0"/>
    <n v="0"/>
    <n v="34417.99"/>
    <n v="0"/>
    <n v="0"/>
    <n v="34417.99"/>
  </r>
  <r>
    <x v="26"/>
    <n v="0"/>
    <n v="0"/>
    <x v="0"/>
    <n v="0"/>
    <n v="0"/>
    <n v="0"/>
    <n v="0"/>
    <n v="0"/>
    <n v="0"/>
    <n v="0"/>
    <n v="0"/>
    <n v="0"/>
    <n v="0"/>
    <n v="-73416.100000000006"/>
    <n v="-73416.100000000006"/>
  </r>
  <r>
    <x v="27"/>
    <n v="6777375.6699999999"/>
    <n v="0"/>
    <x v="0"/>
    <n v="0"/>
    <n v="0"/>
    <n v="0"/>
    <n v="0"/>
    <n v="0"/>
    <n v="6777375.6699999999"/>
    <n v="0"/>
    <n v="0"/>
    <n v="0"/>
    <n v="0"/>
    <n v="0"/>
    <n v="0"/>
  </r>
  <r>
    <x v="27"/>
    <n v="0"/>
    <n v="289866.34999999998"/>
    <x v="0"/>
    <n v="0"/>
    <n v="0"/>
    <n v="0"/>
    <n v="0"/>
    <n v="0"/>
    <n v="289866.34999999998"/>
    <n v="0"/>
    <n v="0"/>
    <n v="0"/>
    <n v="0"/>
    <n v="0"/>
    <n v="0"/>
  </r>
  <r>
    <x v="27"/>
    <n v="0"/>
    <n v="0"/>
    <x v="28"/>
    <n v="0"/>
    <n v="0"/>
    <n v="0"/>
    <n v="0"/>
    <n v="0"/>
    <n v="1322909.22"/>
    <n v="0"/>
    <n v="0"/>
    <n v="0"/>
    <n v="0"/>
    <n v="0"/>
    <n v="0"/>
  </r>
  <r>
    <x v="27"/>
    <n v="0"/>
    <n v="0"/>
    <x v="0"/>
    <n v="177660.52"/>
    <n v="0"/>
    <n v="0"/>
    <n v="0"/>
    <n v="0"/>
    <n v="177660.52"/>
    <n v="0"/>
    <n v="0"/>
    <n v="0"/>
    <n v="0"/>
    <n v="0"/>
    <n v="0"/>
  </r>
  <r>
    <x v="27"/>
    <n v="0"/>
    <n v="0"/>
    <x v="0"/>
    <n v="0"/>
    <n v="4646.74"/>
    <n v="0"/>
    <n v="0"/>
    <n v="0"/>
    <n v="4646.74"/>
    <n v="0"/>
    <n v="0"/>
    <n v="0"/>
    <n v="0"/>
    <n v="0"/>
    <n v="0"/>
  </r>
  <r>
    <x v="27"/>
    <n v="0"/>
    <n v="0"/>
    <x v="0"/>
    <n v="0"/>
    <n v="0"/>
    <n v="3651413.91"/>
    <n v="0"/>
    <n v="0"/>
    <n v="3651413.91"/>
    <n v="0"/>
    <n v="0"/>
    <n v="0"/>
    <n v="0"/>
    <n v="0"/>
    <n v="0"/>
  </r>
  <r>
    <x v="27"/>
    <n v="0"/>
    <n v="0"/>
    <x v="0"/>
    <n v="0"/>
    <n v="0"/>
    <n v="0"/>
    <n v="0"/>
    <n v="0"/>
    <n v="0"/>
    <n v="0"/>
    <n v="0"/>
    <n v="0"/>
    <n v="0"/>
    <n v="0"/>
    <n v="0"/>
  </r>
  <r>
    <x v="27"/>
    <n v="0"/>
    <n v="0"/>
    <x v="0"/>
    <n v="0"/>
    <n v="0"/>
    <n v="0"/>
    <n v="0"/>
    <n v="0"/>
    <n v="0"/>
    <n v="0"/>
    <n v="0"/>
    <n v="0"/>
    <n v="0"/>
    <n v="0"/>
    <n v="0"/>
  </r>
  <r>
    <x v="27"/>
    <n v="0"/>
    <n v="0"/>
    <x v="0"/>
    <n v="0"/>
    <n v="0"/>
    <n v="0"/>
    <n v="0"/>
    <n v="0"/>
    <n v="0"/>
    <n v="0"/>
    <n v="0"/>
    <n v="0"/>
    <n v="0"/>
    <n v="0"/>
    <n v="0"/>
  </r>
  <r>
    <x v="27"/>
    <n v="0"/>
    <n v="0"/>
    <x v="0"/>
    <n v="0"/>
    <n v="0"/>
    <n v="0"/>
    <n v="0"/>
    <n v="0"/>
    <n v="0"/>
    <n v="0"/>
    <n v="30307.54"/>
    <n v="0"/>
    <n v="0"/>
    <n v="0"/>
    <n v="30307.54"/>
  </r>
  <r>
    <x v="27"/>
    <n v="0"/>
    <n v="0"/>
    <x v="0"/>
    <n v="0"/>
    <n v="0"/>
    <n v="0"/>
    <n v="0"/>
    <n v="0"/>
    <n v="0"/>
    <n v="0"/>
    <n v="0"/>
    <n v="39324.14"/>
    <n v="0"/>
    <n v="0"/>
    <n v="39324.14"/>
  </r>
  <r>
    <x v="27"/>
    <n v="0"/>
    <n v="0"/>
    <x v="0"/>
    <n v="0"/>
    <n v="0"/>
    <n v="0"/>
    <n v="0"/>
    <n v="0"/>
    <n v="0"/>
    <n v="0"/>
    <n v="0"/>
    <n v="0"/>
    <n v="0"/>
    <n v="-122407.21"/>
    <n v="-122407.21"/>
  </r>
  <r>
    <x v="28"/>
    <n v="5730644.29"/>
    <n v="0"/>
    <x v="0"/>
    <n v="0"/>
    <n v="0"/>
    <n v="0"/>
    <n v="0"/>
    <n v="0"/>
    <n v="5730644.29"/>
    <n v="0"/>
    <n v="0"/>
    <n v="0"/>
    <n v="0"/>
    <n v="0"/>
    <n v="0"/>
  </r>
  <r>
    <x v="28"/>
    <n v="0"/>
    <n v="243771.17"/>
    <x v="0"/>
    <n v="0"/>
    <n v="0"/>
    <n v="0"/>
    <n v="0"/>
    <n v="0"/>
    <n v="243771.17"/>
    <n v="0"/>
    <n v="0"/>
    <n v="0"/>
    <n v="0"/>
    <n v="0"/>
    <n v="0"/>
  </r>
  <r>
    <x v="28"/>
    <n v="0"/>
    <n v="0"/>
    <x v="29"/>
    <n v="0"/>
    <n v="0"/>
    <n v="0"/>
    <n v="0"/>
    <n v="0"/>
    <n v="1306056.27"/>
    <n v="0"/>
    <n v="0"/>
    <n v="0"/>
    <n v="0"/>
    <n v="0"/>
    <n v="0"/>
  </r>
  <r>
    <x v="28"/>
    <n v="0"/>
    <n v="0"/>
    <x v="0"/>
    <n v="326695.25"/>
    <n v="0"/>
    <n v="0"/>
    <n v="0"/>
    <n v="0"/>
    <n v="326695.25"/>
    <n v="0"/>
    <n v="0"/>
    <n v="0"/>
    <n v="0"/>
    <n v="0"/>
    <n v="0"/>
  </r>
  <r>
    <x v="28"/>
    <n v="0"/>
    <n v="0"/>
    <x v="0"/>
    <n v="0"/>
    <n v="332.11"/>
    <n v="0"/>
    <n v="0"/>
    <n v="0"/>
    <n v="332.11"/>
    <n v="0"/>
    <n v="0"/>
    <n v="0"/>
    <n v="0"/>
    <n v="0"/>
    <n v="0"/>
  </r>
  <r>
    <x v="28"/>
    <n v="0"/>
    <n v="0"/>
    <x v="0"/>
    <n v="0"/>
    <n v="0"/>
    <n v="3132208.31"/>
    <n v="0"/>
    <n v="0"/>
    <n v="3132208.31"/>
    <n v="0"/>
    <n v="0"/>
    <n v="0"/>
    <n v="0"/>
    <n v="0"/>
    <n v="0"/>
  </r>
  <r>
    <x v="28"/>
    <n v="0"/>
    <n v="0"/>
    <x v="0"/>
    <n v="0"/>
    <n v="0"/>
    <n v="0"/>
    <n v="0"/>
    <n v="0"/>
    <n v="0"/>
    <n v="0"/>
    <n v="0"/>
    <n v="0"/>
    <n v="0"/>
    <n v="0"/>
    <n v="0"/>
  </r>
  <r>
    <x v="28"/>
    <n v="0"/>
    <n v="0"/>
    <x v="0"/>
    <n v="0"/>
    <n v="0"/>
    <n v="0"/>
    <n v="0"/>
    <n v="0"/>
    <n v="0"/>
    <n v="0"/>
    <n v="0"/>
    <n v="0"/>
    <n v="0"/>
    <n v="0"/>
    <n v="0"/>
  </r>
  <r>
    <x v="28"/>
    <n v="0"/>
    <n v="0"/>
    <x v="0"/>
    <n v="0"/>
    <n v="0"/>
    <n v="0"/>
    <n v="0"/>
    <n v="0"/>
    <n v="0"/>
    <n v="0"/>
    <n v="0"/>
    <n v="0"/>
    <n v="0"/>
    <n v="0"/>
    <n v="0"/>
  </r>
  <r>
    <x v="28"/>
    <n v="0"/>
    <n v="0"/>
    <x v="0"/>
    <n v="0"/>
    <n v="0"/>
    <n v="0"/>
    <n v="0"/>
    <n v="0"/>
    <n v="0"/>
    <n v="0"/>
    <n v="15339.07"/>
    <n v="0"/>
    <n v="0"/>
    <n v="0"/>
    <n v="15339.07"/>
  </r>
  <r>
    <x v="28"/>
    <n v="0"/>
    <n v="0"/>
    <x v="0"/>
    <n v="0"/>
    <n v="0"/>
    <n v="0"/>
    <n v="0"/>
    <n v="0"/>
    <n v="0"/>
    <n v="0"/>
    <n v="0"/>
    <n v="36400.57"/>
    <n v="0"/>
    <n v="0"/>
    <n v="36400.57"/>
  </r>
  <r>
    <x v="28"/>
    <n v="0"/>
    <n v="0"/>
    <x v="0"/>
    <n v="0"/>
    <n v="0"/>
    <n v="0"/>
    <n v="0"/>
    <n v="0"/>
    <n v="0"/>
    <n v="0"/>
    <n v="0"/>
    <n v="0"/>
    <n v="0"/>
    <n v="-113223.53"/>
    <n v="-113223.53"/>
  </r>
  <r>
    <x v="29"/>
    <n v="5335964.0199999996"/>
    <n v="0"/>
    <x v="0"/>
    <n v="0"/>
    <n v="0"/>
    <n v="0"/>
    <n v="0"/>
    <n v="0"/>
    <n v="5335964.0199999996"/>
    <n v="0"/>
    <n v="0"/>
    <n v="0"/>
    <n v="0"/>
    <n v="0"/>
    <n v="0"/>
  </r>
  <r>
    <x v="29"/>
    <n v="0"/>
    <n v="210869.51"/>
    <x v="0"/>
    <n v="0"/>
    <n v="0"/>
    <n v="0"/>
    <n v="0"/>
    <n v="0"/>
    <n v="210869.51"/>
    <n v="0"/>
    <n v="0"/>
    <n v="0"/>
    <n v="0"/>
    <n v="0"/>
    <n v="0"/>
  </r>
  <r>
    <x v="29"/>
    <n v="0"/>
    <n v="0"/>
    <x v="30"/>
    <n v="0"/>
    <n v="0"/>
    <n v="0"/>
    <n v="0"/>
    <n v="0"/>
    <n v="507458.54"/>
    <n v="0"/>
    <n v="0"/>
    <n v="0"/>
    <n v="0"/>
    <n v="0"/>
    <n v="0"/>
  </r>
  <r>
    <x v="29"/>
    <n v="0"/>
    <n v="0"/>
    <x v="0"/>
    <n v="89839.07"/>
    <n v="0"/>
    <n v="0"/>
    <n v="0"/>
    <n v="0"/>
    <n v="89839.07"/>
    <n v="0"/>
    <n v="0"/>
    <n v="0"/>
    <n v="0"/>
    <n v="0"/>
    <n v="0"/>
  </r>
  <r>
    <x v="29"/>
    <n v="0"/>
    <n v="0"/>
    <x v="0"/>
    <n v="0"/>
    <n v="432.66"/>
    <n v="0"/>
    <n v="0"/>
    <n v="0"/>
    <n v="432.66"/>
    <n v="0"/>
    <n v="0"/>
    <n v="0"/>
    <n v="0"/>
    <n v="0"/>
    <n v="0"/>
  </r>
  <r>
    <x v="29"/>
    <n v="0"/>
    <n v="0"/>
    <x v="0"/>
    <n v="0"/>
    <n v="0"/>
    <n v="2021551.47"/>
    <n v="0"/>
    <n v="0"/>
    <n v="2021551.47"/>
    <n v="0"/>
    <n v="0"/>
    <n v="0"/>
    <n v="0"/>
    <n v="0"/>
    <n v="0"/>
  </r>
  <r>
    <x v="29"/>
    <n v="0"/>
    <n v="0"/>
    <x v="0"/>
    <n v="0"/>
    <n v="0"/>
    <n v="0"/>
    <n v="76619.33"/>
    <n v="0"/>
    <n v="76619.33"/>
    <n v="0"/>
    <n v="0"/>
    <n v="0"/>
    <n v="0"/>
    <n v="0"/>
    <n v="0"/>
  </r>
  <r>
    <x v="29"/>
    <n v="0"/>
    <n v="0"/>
    <x v="0"/>
    <n v="0"/>
    <n v="0"/>
    <n v="0"/>
    <n v="0"/>
    <n v="247653.62"/>
    <n v="247653.62"/>
    <n v="0"/>
    <n v="0"/>
    <n v="0"/>
    <n v="0"/>
    <n v="0"/>
    <n v="0"/>
  </r>
  <r>
    <x v="29"/>
    <n v="0"/>
    <n v="0"/>
    <x v="0"/>
    <n v="0"/>
    <n v="0"/>
    <n v="0"/>
    <n v="0"/>
    <n v="0"/>
    <n v="0"/>
    <n v="0"/>
    <n v="0"/>
    <n v="0"/>
    <n v="0"/>
    <n v="0"/>
    <n v="0"/>
  </r>
  <r>
    <x v="29"/>
    <n v="0"/>
    <n v="0"/>
    <x v="0"/>
    <n v="0"/>
    <n v="0"/>
    <n v="0"/>
    <n v="0"/>
    <n v="0"/>
    <n v="0"/>
    <n v="0"/>
    <n v="13843.34"/>
    <n v="0"/>
    <n v="0"/>
    <n v="0"/>
    <n v="13843.34"/>
  </r>
  <r>
    <x v="29"/>
    <n v="0"/>
    <n v="0"/>
    <x v="0"/>
    <n v="0"/>
    <n v="0"/>
    <n v="0"/>
    <n v="0"/>
    <n v="0"/>
    <n v="0"/>
    <n v="0"/>
    <n v="0"/>
    <n v="44163.64"/>
    <n v="0"/>
    <n v="0"/>
    <n v="44163.64"/>
  </r>
  <r>
    <x v="29"/>
    <n v="0"/>
    <n v="0"/>
    <x v="0"/>
    <n v="0"/>
    <n v="0"/>
    <n v="0"/>
    <n v="0"/>
    <n v="0"/>
    <n v="0"/>
    <n v="0"/>
    <n v="0"/>
    <n v="0"/>
    <n v="0"/>
    <n v="-50745.85"/>
    <n v="-50745.85"/>
  </r>
  <r>
    <x v="30"/>
    <n v="4228538.78"/>
    <n v="0"/>
    <x v="0"/>
    <n v="0"/>
    <n v="0"/>
    <n v="0"/>
    <n v="0"/>
    <n v="0"/>
    <n v="4228538.78"/>
    <n v="0"/>
    <n v="0"/>
    <n v="0"/>
    <n v="0"/>
    <n v="0"/>
    <n v="0"/>
  </r>
  <r>
    <x v="30"/>
    <n v="0"/>
    <n v="180328.7"/>
    <x v="0"/>
    <n v="0"/>
    <n v="0"/>
    <n v="0"/>
    <n v="0"/>
    <n v="0"/>
    <n v="180328.7"/>
    <n v="0"/>
    <n v="0"/>
    <n v="0"/>
    <n v="0"/>
    <n v="0"/>
    <n v="0"/>
  </r>
  <r>
    <x v="30"/>
    <n v="0"/>
    <n v="0"/>
    <x v="31"/>
    <n v="0"/>
    <n v="0"/>
    <n v="0"/>
    <n v="0"/>
    <n v="0"/>
    <n v="924211.95"/>
    <n v="0"/>
    <n v="0"/>
    <n v="0"/>
    <n v="0"/>
    <n v="0"/>
    <n v="0"/>
  </r>
  <r>
    <x v="30"/>
    <n v="0"/>
    <n v="0"/>
    <x v="0"/>
    <n v="10889.05"/>
    <n v="0"/>
    <n v="0"/>
    <n v="0"/>
    <n v="0"/>
    <n v="10889.05"/>
    <n v="0"/>
    <n v="0"/>
    <n v="0"/>
    <n v="0"/>
    <n v="0"/>
    <n v="0"/>
  </r>
  <r>
    <x v="30"/>
    <n v="0"/>
    <n v="0"/>
    <x v="0"/>
    <n v="0"/>
    <n v="3028.78"/>
    <n v="0"/>
    <n v="0"/>
    <n v="0"/>
    <n v="3028.78"/>
    <n v="0"/>
    <n v="0"/>
    <n v="0"/>
    <n v="0"/>
    <n v="0"/>
    <n v="0"/>
  </r>
  <r>
    <x v="30"/>
    <n v="0"/>
    <n v="0"/>
    <x v="0"/>
    <n v="0"/>
    <n v="0"/>
    <n v="2586431.0699999998"/>
    <n v="0"/>
    <n v="0"/>
    <n v="2586431.0699999998"/>
    <n v="0"/>
    <n v="0"/>
    <n v="0"/>
    <n v="0"/>
    <n v="0"/>
    <n v="0"/>
  </r>
  <r>
    <x v="30"/>
    <n v="0"/>
    <n v="0"/>
    <x v="0"/>
    <n v="0"/>
    <n v="0"/>
    <n v="0"/>
    <n v="0"/>
    <n v="0"/>
    <n v="0"/>
    <n v="0"/>
    <n v="0"/>
    <n v="0"/>
    <n v="0"/>
    <n v="0"/>
    <n v="0"/>
  </r>
  <r>
    <x v="30"/>
    <n v="0"/>
    <n v="0"/>
    <x v="0"/>
    <n v="0"/>
    <n v="0"/>
    <n v="0"/>
    <n v="0"/>
    <n v="0"/>
    <n v="0"/>
    <n v="0"/>
    <n v="0"/>
    <n v="0"/>
    <n v="0"/>
    <n v="0"/>
    <n v="0"/>
  </r>
  <r>
    <x v="30"/>
    <n v="0"/>
    <n v="0"/>
    <x v="0"/>
    <n v="0"/>
    <n v="0"/>
    <n v="0"/>
    <n v="0"/>
    <n v="0"/>
    <n v="0"/>
    <n v="0"/>
    <n v="0"/>
    <n v="0"/>
    <n v="0"/>
    <n v="0"/>
    <n v="0"/>
  </r>
  <r>
    <x v="30"/>
    <n v="0"/>
    <n v="0"/>
    <x v="0"/>
    <n v="0"/>
    <n v="0"/>
    <n v="0"/>
    <n v="0"/>
    <n v="0"/>
    <n v="0"/>
    <n v="0"/>
    <n v="5995.62"/>
    <n v="0"/>
    <n v="0"/>
    <n v="0"/>
    <n v="5995.62"/>
  </r>
  <r>
    <x v="30"/>
    <n v="0"/>
    <n v="0"/>
    <x v="0"/>
    <n v="0"/>
    <n v="0"/>
    <n v="0"/>
    <n v="0"/>
    <n v="0"/>
    <n v="0"/>
    <n v="0"/>
    <n v="0"/>
    <n v="60228.19"/>
    <n v="0"/>
    <n v="0"/>
    <n v="60228.19"/>
  </r>
  <r>
    <x v="30"/>
    <n v="0"/>
    <n v="0"/>
    <x v="0"/>
    <n v="0"/>
    <n v="0"/>
    <n v="0"/>
    <n v="0"/>
    <n v="0"/>
    <n v="0"/>
    <n v="0"/>
    <n v="0"/>
    <n v="0"/>
    <n v="0"/>
    <n v="-92343.83"/>
    <n v="-92343.83"/>
  </r>
  <r>
    <x v="31"/>
    <n v="2879581.16"/>
    <n v="0"/>
    <x v="0"/>
    <n v="0"/>
    <n v="0"/>
    <n v="0"/>
    <n v="0"/>
    <n v="0"/>
    <n v="2879581.16"/>
    <n v="0"/>
    <n v="0"/>
    <n v="0"/>
    <n v="0"/>
    <n v="0"/>
    <n v="0"/>
  </r>
  <r>
    <x v="31"/>
    <n v="0"/>
    <n v="123887.54"/>
    <x v="0"/>
    <n v="0"/>
    <n v="0"/>
    <n v="0"/>
    <n v="0"/>
    <n v="0"/>
    <n v="123887.54"/>
    <n v="0"/>
    <n v="0"/>
    <n v="0"/>
    <n v="0"/>
    <n v="0"/>
    <n v="0"/>
  </r>
  <r>
    <x v="31"/>
    <n v="0"/>
    <n v="0"/>
    <x v="32"/>
    <n v="0"/>
    <n v="0"/>
    <n v="0"/>
    <n v="0"/>
    <n v="0"/>
    <n v="702491.19"/>
    <n v="0"/>
    <n v="0"/>
    <n v="0"/>
    <n v="0"/>
    <n v="0"/>
    <n v="0"/>
  </r>
  <r>
    <x v="31"/>
    <n v="0"/>
    <n v="0"/>
    <x v="0"/>
    <n v="516308.63"/>
    <n v="0"/>
    <n v="0"/>
    <n v="0"/>
    <n v="0"/>
    <n v="516308.63"/>
    <n v="0"/>
    <n v="0"/>
    <n v="0"/>
    <n v="0"/>
    <n v="0"/>
    <n v="0"/>
  </r>
  <r>
    <x v="31"/>
    <n v="0"/>
    <n v="0"/>
    <x v="0"/>
    <n v="0"/>
    <n v="0"/>
    <n v="0"/>
    <n v="0"/>
    <n v="0"/>
    <n v="0"/>
    <n v="0"/>
    <n v="0"/>
    <n v="0"/>
    <n v="0"/>
    <n v="0"/>
    <n v="0"/>
  </r>
  <r>
    <x v="31"/>
    <n v="0"/>
    <n v="0"/>
    <x v="0"/>
    <n v="0"/>
    <n v="0"/>
    <n v="1386892.78"/>
    <n v="0"/>
    <n v="0"/>
    <n v="1386892.78"/>
    <n v="0"/>
    <n v="0"/>
    <n v="0"/>
    <n v="0"/>
    <n v="0"/>
    <n v="0"/>
  </r>
  <r>
    <x v="31"/>
    <n v="0"/>
    <n v="0"/>
    <x v="0"/>
    <n v="0"/>
    <n v="0"/>
    <n v="0"/>
    <n v="0"/>
    <n v="0"/>
    <n v="0"/>
    <n v="0"/>
    <n v="0"/>
    <n v="0"/>
    <n v="0"/>
    <n v="0"/>
    <n v="0"/>
  </r>
  <r>
    <x v="31"/>
    <n v="0"/>
    <n v="0"/>
    <x v="0"/>
    <n v="0"/>
    <n v="0"/>
    <n v="0"/>
    <n v="0"/>
    <n v="4519.6400000000003"/>
    <n v="4519.6400000000003"/>
    <n v="0"/>
    <n v="0"/>
    <n v="0"/>
    <n v="0"/>
    <n v="0"/>
    <n v="0"/>
  </r>
  <r>
    <x v="31"/>
    <n v="0"/>
    <n v="0"/>
    <x v="0"/>
    <n v="0"/>
    <n v="0"/>
    <n v="0"/>
    <n v="0"/>
    <n v="0"/>
    <n v="0"/>
    <n v="0"/>
    <n v="0"/>
    <n v="0"/>
    <n v="0"/>
    <n v="0"/>
    <n v="0"/>
  </r>
  <r>
    <x v="31"/>
    <n v="0"/>
    <n v="0"/>
    <x v="0"/>
    <n v="0"/>
    <n v="0"/>
    <n v="0"/>
    <n v="0"/>
    <n v="0"/>
    <n v="0"/>
    <n v="0"/>
    <n v="4024.51"/>
    <n v="0"/>
    <n v="0"/>
    <n v="0"/>
    <n v="4024.51"/>
  </r>
  <r>
    <x v="31"/>
    <n v="0"/>
    <n v="0"/>
    <x v="0"/>
    <n v="0"/>
    <n v="0"/>
    <n v="0"/>
    <n v="0"/>
    <n v="0"/>
    <n v="0"/>
    <n v="0"/>
    <n v="0"/>
    <n v="25554.73"/>
    <n v="0"/>
    <n v="0"/>
    <n v="25554.73"/>
  </r>
  <r>
    <x v="31"/>
    <n v="0"/>
    <n v="0"/>
    <x v="0"/>
    <n v="0"/>
    <n v="0"/>
    <n v="0"/>
    <n v="0"/>
    <n v="0"/>
    <n v="0"/>
    <n v="0"/>
    <n v="0"/>
    <n v="0"/>
    <n v="0"/>
    <n v="-53214.18"/>
    <n v="-53214.18"/>
  </r>
  <r>
    <x v="32"/>
    <n v="3534368.88"/>
    <n v="0"/>
    <x v="0"/>
    <n v="0"/>
    <n v="0"/>
    <n v="0"/>
    <n v="0"/>
    <n v="0"/>
    <n v="3534368.88"/>
    <n v="0"/>
    <n v="0"/>
    <n v="0"/>
    <n v="0"/>
    <n v="0"/>
    <n v="0"/>
  </r>
  <r>
    <x v="32"/>
    <n v="0"/>
    <n v="142818.60999999999"/>
    <x v="0"/>
    <n v="0"/>
    <n v="0"/>
    <n v="0"/>
    <n v="0"/>
    <n v="0"/>
    <n v="142818.60999999999"/>
    <n v="0"/>
    <n v="0"/>
    <n v="0"/>
    <n v="0"/>
    <n v="0"/>
    <n v="0"/>
  </r>
  <r>
    <x v="32"/>
    <n v="0"/>
    <n v="0"/>
    <x v="33"/>
    <n v="0"/>
    <n v="0"/>
    <n v="0"/>
    <n v="0"/>
    <n v="0"/>
    <n v="683969.06"/>
    <n v="0"/>
    <n v="0"/>
    <n v="0"/>
    <n v="0"/>
    <n v="0"/>
    <n v="0"/>
  </r>
  <r>
    <x v="32"/>
    <n v="0"/>
    <n v="0"/>
    <x v="0"/>
    <n v="120749.32"/>
    <n v="0"/>
    <n v="0"/>
    <n v="0"/>
    <n v="0"/>
    <n v="120749.32"/>
    <n v="0"/>
    <n v="0"/>
    <n v="0"/>
    <n v="0"/>
    <n v="0"/>
    <n v="0"/>
  </r>
  <r>
    <x v="32"/>
    <n v="0"/>
    <n v="0"/>
    <x v="0"/>
    <n v="0"/>
    <n v="9164.8700000000008"/>
    <n v="0"/>
    <n v="0"/>
    <n v="0"/>
    <n v="9164.8700000000008"/>
    <n v="0"/>
    <n v="0"/>
    <n v="0"/>
    <n v="0"/>
    <n v="0"/>
    <n v="0"/>
  </r>
  <r>
    <x v="32"/>
    <n v="0"/>
    <n v="0"/>
    <x v="0"/>
    <n v="0"/>
    <n v="0"/>
    <n v="1655859.52"/>
    <n v="0"/>
    <n v="0"/>
    <n v="1655859.52"/>
    <n v="0"/>
    <n v="0"/>
    <n v="0"/>
    <n v="0"/>
    <n v="0"/>
    <n v="0"/>
  </r>
  <r>
    <x v="32"/>
    <n v="0"/>
    <n v="0"/>
    <x v="0"/>
    <n v="0"/>
    <n v="0"/>
    <n v="0"/>
    <n v="0"/>
    <n v="0"/>
    <n v="0"/>
    <n v="0"/>
    <n v="0"/>
    <n v="0"/>
    <n v="0"/>
    <n v="0"/>
    <n v="0"/>
  </r>
  <r>
    <x v="32"/>
    <n v="0"/>
    <n v="0"/>
    <x v="0"/>
    <n v="0"/>
    <n v="0"/>
    <n v="0"/>
    <n v="0"/>
    <n v="0"/>
    <n v="0"/>
    <n v="0"/>
    <n v="0"/>
    <n v="0"/>
    <n v="0"/>
    <n v="0"/>
    <n v="0"/>
  </r>
  <r>
    <x v="32"/>
    <n v="0"/>
    <n v="0"/>
    <x v="0"/>
    <n v="0"/>
    <n v="0"/>
    <n v="0"/>
    <n v="0"/>
    <n v="0"/>
    <n v="0"/>
    <n v="0"/>
    <n v="0"/>
    <n v="0"/>
    <n v="0"/>
    <n v="0"/>
    <n v="0"/>
  </r>
  <r>
    <x v="32"/>
    <n v="0"/>
    <n v="0"/>
    <x v="0"/>
    <n v="0"/>
    <n v="0"/>
    <n v="0"/>
    <n v="0"/>
    <n v="0"/>
    <n v="0"/>
    <n v="0"/>
    <n v="141102.26999999999"/>
    <n v="0"/>
    <n v="0"/>
    <n v="0"/>
    <n v="141102.26999999999"/>
  </r>
  <r>
    <x v="32"/>
    <n v="0"/>
    <n v="0"/>
    <x v="0"/>
    <n v="0"/>
    <n v="0"/>
    <n v="0"/>
    <n v="0"/>
    <n v="0"/>
    <n v="0"/>
    <n v="0"/>
    <n v="0"/>
    <n v="47346.89"/>
    <n v="0"/>
    <n v="0"/>
    <n v="47346.89"/>
  </r>
  <r>
    <x v="32"/>
    <n v="0"/>
    <n v="0"/>
    <x v="0"/>
    <n v="0"/>
    <n v="0"/>
    <n v="0"/>
    <n v="0"/>
    <n v="0"/>
    <n v="0"/>
    <n v="0"/>
    <n v="0"/>
    <n v="0"/>
    <n v="0"/>
    <n v="-68396.91"/>
    <n v="-68396.91"/>
  </r>
  <r>
    <x v="33"/>
    <n v="2198150.5099999998"/>
    <n v="0"/>
    <x v="0"/>
    <n v="0"/>
    <n v="0"/>
    <n v="0"/>
    <n v="0"/>
    <n v="0"/>
    <n v="2198150.5099999998"/>
    <n v="0"/>
    <n v="0"/>
    <n v="0"/>
    <n v="0"/>
    <n v="0"/>
    <n v="0"/>
  </r>
  <r>
    <x v="33"/>
    <n v="0"/>
    <n v="81475.69"/>
    <x v="0"/>
    <n v="0"/>
    <n v="0"/>
    <n v="0"/>
    <n v="0"/>
    <n v="0"/>
    <n v="81475.69"/>
    <n v="0"/>
    <n v="0"/>
    <n v="0"/>
    <n v="0"/>
    <n v="0"/>
    <n v="0"/>
  </r>
  <r>
    <x v="33"/>
    <n v="0"/>
    <n v="0"/>
    <x v="34"/>
    <n v="0"/>
    <n v="0"/>
    <n v="0"/>
    <n v="0"/>
    <n v="0"/>
    <n v="515478.67"/>
    <n v="0"/>
    <n v="0"/>
    <n v="0"/>
    <n v="0"/>
    <n v="0"/>
    <n v="0"/>
  </r>
  <r>
    <x v="33"/>
    <n v="0"/>
    <n v="0"/>
    <x v="0"/>
    <n v="207496.41"/>
    <n v="0"/>
    <n v="0"/>
    <n v="0"/>
    <n v="0"/>
    <n v="207496.41"/>
    <n v="0"/>
    <n v="0"/>
    <n v="0"/>
    <n v="0"/>
    <n v="0"/>
    <n v="0"/>
  </r>
  <r>
    <x v="33"/>
    <n v="0"/>
    <n v="0"/>
    <x v="0"/>
    <n v="0"/>
    <n v="0"/>
    <n v="0"/>
    <n v="0"/>
    <n v="0"/>
    <n v="0"/>
    <n v="0"/>
    <n v="0"/>
    <n v="0"/>
    <n v="0"/>
    <n v="0"/>
    <n v="0"/>
  </r>
  <r>
    <x v="33"/>
    <n v="0"/>
    <n v="0"/>
    <x v="0"/>
    <n v="0"/>
    <n v="0"/>
    <n v="1165195.6000000001"/>
    <n v="0"/>
    <n v="0"/>
    <n v="1165195.6000000001"/>
    <n v="0"/>
    <n v="0"/>
    <n v="0"/>
    <n v="0"/>
    <n v="0"/>
    <n v="0"/>
  </r>
  <r>
    <x v="33"/>
    <n v="0"/>
    <n v="0"/>
    <x v="0"/>
    <n v="0"/>
    <n v="0"/>
    <n v="0"/>
    <n v="0"/>
    <n v="0"/>
    <n v="0"/>
    <n v="0"/>
    <n v="0"/>
    <n v="0"/>
    <n v="0"/>
    <n v="0"/>
    <n v="0"/>
  </r>
  <r>
    <x v="33"/>
    <n v="0"/>
    <n v="0"/>
    <x v="0"/>
    <n v="0"/>
    <n v="0"/>
    <n v="0"/>
    <n v="0"/>
    <n v="0"/>
    <n v="0"/>
    <n v="0"/>
    <n v="0"/>
    <n v="0"/>
    <n v="0"/>
    <n v="0"/>
    <n v="0"/>
  </r>
  <r>
    <x v="33"/>
    <n v="0"/>
    <n v="0"/>
    <x v="0"/>
    <n v="0"/>
    <n v="0"/>
    <n v="0"/>
    <n v="0"/>
    <n v="0"/>
    <n v="0"/>
    <n v="0"/>
    <n v="0"/>
    <n v="0"/>
    <n v="0"/>
    <n v="0"/>
    <n v="0"/>
  </r>
  <r>
    <x v="33"/>
    <n v="0"/>
    <n v="0"/>
    <x v="0"/>
    <n v="0"/>
    <n v="0"/>
    <n v="0"/>
    <n v="0"/>
    <n v="0"/>
    <n v="0"/>
    <n v="0"/>
    <n v="51338.9"/>
    <n v="0"/>
    <n v="0"/>
    <n v="0"/>
    <n v="51338.9"/>
  </r>
  <r>
    <x v="33"/>
    <n v="0"/>
    <n v="0"/>
    <x v="0"/>
    <n v="0"/>
    <n v="0"/>
    <n v="0"/>
    <n v="0"/>
    <n v="0"/>
    <n v="0"/>
    <n v="0"/>
    <n v="0"/>
    <n v="29858.720000000001"/>
    <n v="0"/>
    <n v="0"/>
    <n v="29858.720000000001"/>
  </r>
  <r>
    <x v="33"/>
    <n v="0"/>
    <n v="0"/>
    <x v="0"/>
    <n v="0"/>
    <n v="0"/>
    <n v="0"/>
    <n v="0"/>
    <n v="0"/>
    <n v="0"/>
    <n v="0"/>
    <n v="0"/>
    <n v="0"/>
    <n v="0"/>
    <n v="-51547.87"/>
    <n v="-51547.87"/>
  </r>
  <r>
    <x v="34"/>
    <n v="4144805.76"/>
    <n v="0"/>
    <x v="0"/>
    <n v="0"/>
    <n v="0"/>
    <n v="0"/>
    <n v="0"/>
    <n v="0"/>
    <n v="4144805.76"/>
    <n v="0"/>
    <n v="0"/>
    <n v="0"/>
    <n v="0"/>
    <n v="0"/>
    <n v="0"/>
  </r>
  <r>
    <x v="34"/>
    <n v="0"/>
    <n v="173076.4"/>
    <x v="0"/>
    <n v="0"/>
    <n v="0"/>
    <n v="0"/>
    <n v="0"/>
    <n v="0"/>
    <n v="173076.4"/>
    <n v="0"/>
    <n v="0"/>
    <n v="0"/>
    <n v="0"/>
    <n v="0"/>
    <n v="0"/>
  </r>
  <r>
    <x v="34"/>
    <n v="0"/>
    <n v="0"/>
    <x v="35"/>
    <n v="0"/>
    <n v="0"/>
    <n v="0"/>
    <n v="0"/>
    <n v="0"/>
    <n v="1516651.08"/>
    <n v="0"/>
    <n v="0"/>
    <n v="0"/>
    <n v="0"/>
    <n v="0"/>
    <n v="0"/>
  </r>
  <r>
    <x v="34"/>
    <n v="0"/>
    <n v="0"/>
    <x v="0"/>
    <n v="199034.47"/>
    <n v="0"/>
    <n v="0"/>
    <n v="0"/>
    <n v="0"/>
    <n v="199034.47"/>
    <n v="0"/>
    <n v="0"/>
    <n v="0"/>
    <n v="0"/>
    <n v="0"/>
    <n v="0"/>
  </r>
  <r>
    <x v="34"/>
    <n v="0"/>
    <n v="0"/>
    <x v="0"/>
    <n v="0"/>
    <n v="195.68"/>
    <n v="0"/>
    <n v="0"/>
    <n v="0"/>
    <n v="195.68"/>
    <n v="0"/>
    <n v="0"/>
    <n v="0"/>
    <n v="0"/>
    <n v="0"/>
    <n v="0"/>
  </r>
  <r>
    <x v="34"/>
    <n v="0"/>
    <n v="0"/>
    <x v="0"/>
    <n v="0"/>
    <n v="0"/>
    <n v="2038073.87"/>
    <n v="0"/>
    <n v="0"/>
    <n v="2038073.87"/>
    <n v="0"/>
    <n v="0"/>
    <n v="0"/>
    <n v="0"/>
    <n v="0"/>
    <n v="0"/>
  </r>
  <r>
    <x v="34"/>
    <n v="0"/>
    <n v="0"/>
    <x v="0"/>
    <n v="0"/>
    <n v="0"/>
    <n v="0"/>
    <n v="0"/>
    <n v="0"/>
    <n v="0"/>
    <n v="0"/>
    <n v="0"/>
    <n v="0"/>
    <n v="0"/>
    <n v="0"/>
    <n v="0"/>
  </r>
  <r>
    <x v="34"/>
    <n v="0"/>
    <n v="0"/>
    <x v="0"/>
    <n v="0"/>
    <n v="0"/>
    <n v="0"/>
    <n v="0"/>
    <n v="0"/>
    <n v="0"/>
    <n v="0"/>
    <n v="0"/>
    <n v="0"/>
    <n v="0"/>
    <n v="0"/>
    <n v="0"/>
  </r>
  <r>
    <x v="34"/>
    <n v="0"/>
    <n v="0"/>
    <x v="0"/>
    <n v="0"/>
    <n v="0"/>
    <n v="0"/>
    <n v="0"/>
    <n v="0"/>
    <n v="0"/>
    <n v="0"/>
    <n v="0"/>
    <n v="0"/>
    <n v="0"/>
    <n v="0"/>
    <n v="0"/>
  </r>
  <r>
    <x v="34"/>
    <n v="0"/>
    <n v="0"/>
    <x v="0"/>
    <n v="0"/>
    <n v="0"/>
    <n v="0"/>
    <n v="0"/>
    <n v="0"/>
    <n v="0"/>
    <n v="0"/>
    <n v="61677.25"/>
    <n v="0"/>
    <n v="0"/>
    <n v="0"/>
    <n v="61677.25"/>
  </r>
  <r>
    <x v="34"/>
    <n v="0"/>
    <n v="0"/>
    <x v="0"/>
    <n v="0"/>
    <n v="0"/>
    <n v="0"/>
    <n v="0"/>
    <n v="0"/>
    <n v="0"/>
    <n v="0"/>
    <n v="0"/>
    <n v="62716.39"/>
    <n v="0"/>
    <n v="0"/>
    <n v="62716.39"/>
  </r>
  <r>
    <x v="34"/>
    <n v="0"/>
    <n v="0"/>
    <x v="0"/>
    <n v="0"/>
    <n v="0"/>
    <n v="0"/>
    <n v="0"/>
    <n v="0"/>
    <n v="0"/>
    <n v="0"/>
    <n v="0"/>
    <n v="0"/>
    <n v="0"/>
    <n v="-133507.01"/>
    <n v="-133507.01"/>
  </r>
  <r>
    <x v="35"/>
    <n v="4058695.06"/>
    <n v="0"/>
    <x v="0"/>
    <n v="0"/>
    <n v="0"/>
    <n v="0"/>
    <n v="0"/>
    <n v="0"/>
    <n v="4058695.06"/>
    <n v="0"/>
    <n v="0"/>
    <n v="0"/>
    <n v="0"/>
    <n v="0"/>
    <n v="0"/>
  </r>
  <r>
    <x v="35"/>
    <n v="0"/>
    <n v="174178.96"/>
    <x v="0"/>
    <n v="0"/>
    <n v="0"/>
    <n v="0"/>
    <n v="0"/>
    <n v="0"/>
    <n v="174178.96"/>
    <n v="0"/>
    <n v="0"/>
    <n v="0"/>
    <n v="0"/>
    <n v="0"/>
    <n v="0"/>
  </r>
  <r>
    <x v="35"/>
    <n v="0"/>
    <n v="0"/>
    <x v="36"/>
    <n v="0"/>
    <n v="0"/>
    <n v="0"/>
    <n v="0"/>
    <n v="0"/>
    <n v="1231703.67"/>
    <n v="0"/>
    <n v="0"/>
    <n v="0"/>
    <n v="0"/>
    <n v="0"/>
    <n v="0"/>
  </r>
  <r>
    <x v="35"/>
    <n v="0"/>
    <n v="0"/>
    <x v="0"/>
    <n v="86819.22"/>
    <n v="0"/>
    <n v="0"/>
    <n v="0"/>
    <n v="0"/>
    <n v="86819.22"/>
    <n v="0"/>
    <n v="0"/>
    <n v="0"/>
    <n v="0"/>
    <n v="0"/>
    <n v="0"/>
  </r>
  <r>
    <x v="35"/>
    <n v="0"/>
    <n v="0"/>
    <x v="0"/>
    <n v="0"/>
    <n v="15894.87"/>
    <n v="0"/>
    <n v="0"/>
    <n v="0"/>
    <n v="15894.87"/>
    <n v="0"/>
    <n v="0"/>
    <n v="0"/>
    <n v="0"/>
    <n v="0"/>
    <n v="0"/>
  </r>
  <r>
    <x v="35"/>
    <n v="0"/>
    <n v="0"/>
    <x v="0"/>
    <n v="0"/>
    <n v="0"/>
    <n v="1979844.89"/>
    <n v="0"/>
    <n v="0"/>
    <n v="1979844.89"/>
    <n v="0"/>
    <n v="0"/>
    <n v="0"/>
    <n v="0"/>
    <n v="0"/>
    <n v="0"/>
  </r>
  <r>
    <x v="35"/>
    <n v="0"/>
    <n v="0"/>
    <x v="0"/>
    <n v="0"/>
    <n v="0"/>
    <n v="0"/>
    <n v="0"/>
    <n v="0"/>
    <n v="0"/>
    <n v="0"/>
    <n v="0"/>
    <n v="0"/>
    <n v="0"/>
    <n v="0"/>
    <n v="0"/>
  </r>
  <r>
    <x v="35"/>
    <n v="0"/>
    <n v="0"/>
    <x v="0"/>
    <n v="0"/>
    <n v="0"/>
    <n v="0"/>
    <n v="0"/>
    <n v="14427.01"/>
    <n v="14427.01"/>
    <n v="0"/>
    <n v="0"/>
    <n v="0"/>
    <n v="0"/>
    <n v="0"/>
    <n v="0"/>
  </r>
  <r>
    <x v="35"/>
    <n v="0"/>
    <n v="0"/>
    <x v="0"/>
    <n v="0"/>
    <n v="0"/>
    <n v="0"/>
    <n v="0"/>
    <n v="0"/>
    <n v="0"/>
    <n v="-159995"/>
    <n v="0"/>
    <n v="0"/>
    <n v="0"/>
    <n v="0"/>
    <n v="-159995"/>
  </r>
  <r>
    <x v="35"/>
    <n v="0"/>
    <n v="0"/>
    <x v="0"/>
    <n v="0"/>
    <n v="0"/>
    <n v="0"/>
    <n v="0"/>
    <n v="0"/>
    <n v="0"/>
    <n v="0"/>
    <n v="18553.650000000001"/>
    <n v="0"/>
    <n v="0"/>
    <n v="0"/>
    <n v="18553.650000000001"/>
  </r>
  <r>
    <x v="35"/>
    <n v="0"/>
    <n v="0"/>
    <x v="0"/>
    <n v="0"/>
    <n v="0"/>
    <n v="0"/>
    <n v="0"/>
    <n v="0"/>
    <n v="0"/>
    <n v="0"/>
    <n v="0"/>
    <n v="41472.44"/>
    <n v="0"/>
    <n v="0"/>
    <n v="41472.44"/>
  </r>
  <r>
    <x v="35"/>
    <n v="0"/>
    <n v="0"/>
    <x v="0"/>
    <n v="0"/>
    <n v="0"/>
    <n v="0"/>
    <n v="0"/>
    <n v="0"/>
    <n v="0"/>
    <n v="0"/>
    <n v="0"/>
    <n v="0"/>
    <n v="0"/>
    <n v="-123170.37"/>
    <n v="-123170.37"/>
  </r>
  <r>
    <x v="36"/>
    <n v="2527731.7799999998"/>
    <n v="0"/>
    <x v="0"/>
    <n v="0"/>
    <n v="0"/>
    <n v="0"/>
    <n v="0"/>
    <n v="0"/>
    <n v="2527731.7799999998"/>
    <n v="0"/>
    <n v="0"/>
    <n v="0"/>
    <n v="0"/>
    <n v="0"/>
    <n v="0"/>
  </r>
  <r>
    <x v="36"/>
    <n v="0"/>
    <n v="91830.63"/>
    <x v="0"/>
    <n v="0"/>
    <n v="0"/>
    <n v="0"/>
    <n v="0"/>
    <n v="0"/>
    <n v="91830.63"/>
    <n v="0"/>
    <n v="0"/>
    <n v="0"/>
    <n v="0"/>
    <n v="0"/>
    <n v="0"/>
  </r>
  <r>
    <x v="36"/>
    <n v="0"/>
    <n v="0"/>
    <x v="37"/>
    <n v="0"/>
    <n v="0"/>
    <n v="0"/>
    <n v="0"/>
    <n v="0"/>
    <n v="502604.26"/>
    <n v="0"/>
    <n v="0"/>
    <n v="0"/>
    <n v="0"/>
    <n v="0"/>
    <n v="0"/>
  </r>
  <r>
    <x v="36"/>
    <n v="0"/>
    <n v="0"/>
    <x v="0"/>
    <n v="22152.21"/>
    <n v="0"/>
    <n v="0"/>
    <n v="0"/>
    <n v="0"/>
    <n v="22152.21"/>
    <n v="0"/>
    <n v="0"/>
    <n v="0"/>
    <n v="0"/>
    <n v="0"/>
    <n v="0"/>
  </r>
  <r>
    <x v="36"/>
    <n v="0"/>
    <n v="0"/>
    <x v="0"/>
    <n v="0"/>
    <n v="0"/>
    <n v="0"/>
    <n v="0"/>
    <n v="0"/>
    <n v="0"/>
    <n v="0"/>
    <n v="0"/>
    <n v="0"/>
    <n v="0"/>
    <n v="0"/>
    <n v="0"/>
  </r>
  <r>
    <x v="36"/>
    <n v="0"/>
    <n v="0"/>
    <x v="0"/>
    <n v="0"/>
    <n v="0"/>
    <n v="1018897.77"/>
    <n v="0"/>
    <n v="0"/>
    <n v="1018897.77"/>
    <n v="0"/>
    <n v="0"/>
    <n v="0"/>
    <n v="0"/>
    <n v="0"/>
    <n v="0"/>
  </r>
  <r>
    <x v="36"/>
    <n v="0"/>
    <n v="0"/>
    <x v="0"/>
    <n v="0"/>
    <n v="0"/>
    <n v="0"/>
    <n v="0"/>
    <n v="0"/>
    <n v="0"/>
    <n v="0"/>
    <n v="0"/>
    <n v="0"/>
    <n v="0"/>
    <n v="0"/>
    <n v="0"/>
  </r>
  <r>
    <x v="36"/>
    <n v="0"/>
    <n v="0"/>
    <x v="0"/>
    <n v="0"/>
    <n v="0"/>
    <n v="0"/>
    <n v="0"/>
    <n v="0"/>
    <n v="0"/>
    <n v="0"/>
    <n v="0"/>
    <n v="0"/>
    <n v="0"/>
    <n v="0"/>
    <n v="0"/>
  </r>
  <r>
    <x v="36"/>
    <n v="0"/>
    <n v="0"/>
    <x v="0"/>
    <n v="0"/>
    <n v="0"/>
    <n v="0"/>
    <n v="0"/>
    <n v="0"/>
    <n v="0"/>
    <n v="0"/>
    <n v="0"/>
    <n v="0"/>
    <n v="0"/>
    <n v="0"/>
    <n v="0"/>
  </r>
  <r>
    <x v="36"/>
    <n v="0"/>
    <n v="0"/>
    <x v="0"/>
    <n v="0"/>
    <n v="0"/>
    <n v="0"/>
    <n v="0"/>
    <n v="0"/>
    <n v="0"/>
    <n v="0"/>
    <n v="27849.24"/>
    <n v="0"/>
    <n v="0"/>
    <n v="0"/>
    <n v="27849.24"/>
  </r>
  <r>
    <x v="36"/>
    <n v="0"/>
    <n v="0"/>
    <x v="0"/>
    <n v="0"/>
    <n v="0"/>
    <n v="0"/>
    <n v="0"/>
    <n v="0"/>
    <n v="0"/>
    <n v="0"/>
    <n v="0"/>
    <n v="24554.68"/>
    <n v="0"/>
    <n v="0"/>
    <n v="24554.68"/>
  </r>
  <r>
    <x v="36"/>
    <n v="0"/>
    <n v="0"/>
    <x v="0"/>
    <n v="0"/>
    <n v="0"/>
    <n v="0"/>
    <n v="0"/>
    <n v="0"/>
    <n v="0"/>
    <n v="0"/>
    <n v="0"/>
    <n v="0"/>
    <n v="0"/>
    <n v="-50260.43"/>
    <n v="-50260.43"/>
  </r>
  <r>
    <x v="37"/>
    <n v="2320542.17"/>
    <n v="0"/>
    <x v="0"/>
    <n v="0"/>
    <n v="0"/>
    <n v="0"/>
    <n v="0"/>
    <n v="0"/>
    <n v="2320542.17"/>
    <n v="0"/>
    <n v="0"/>
    <n v="0"/>
    <n v="0"/>
    <n v="0"/>
    <n v="0"/>
  </r>
  <r>
    <x v="37"/>
    <n v="0"/>
    <n v="89213.73"/>
    <x v="0"/>
    <n v="0"/>
    <n v="0"/>
    <n v="0"/>
    <n v="0"/>
    <n v="0"/>
    <n v="89213.73"/>
    <n v="0"/>
    <n v="0"/>
    <n v="0"/>
    <n v="0"/>
    <n v="0"/>
    <n v="0"/>
  </r>
  <r>
    <x v="37"/>
    <n v="0"/>
    <n v="0"/>
    <x v="38"/>
    <n v="0"/>
    <n v="0"/>
    <n v="0"/>
    <n v="0"/>
    <n v="0"/>
    <n v="409430.8"/>
    <n v="0"/>
    <n v="0"/>
    <n v="0"/>
    <n v="0"/>
    <n v="0"/>
    <n v="0"/>
  </r>
  <r>
    <x v="37"/>
    <n v="0"/>
    <n v="0"/>
    <x v="0"/>
    <n v="102798.95"/>
    <n v="0"/>
    <n v="0"/>
    <n v="0"/>
    <n v="0"/>
    <n v="102798.95"/>
    <n v="0"/>
    <n v="0"/>
    <n v="0"/>
    <n v="0"/>
    <n v="0"/>
    <n v="0"/>
  </r>
  <r>
    <x v="37"/>
    <n v="0"/>
    <n v="0"/>
    <x v="0"/>
    <n v="0"/>
    <n v="0"/>
    <n v="0"/>
    <n v="0"/>
    <n v="0"/>
    <n v="0"/>
    <n v="0"/>
    <n v="0"/>
    <n v="0"/>
    <n v="0"/>
    <n v="0"/>
    <n v="0"/>
  </r>
  <r>
    <x v="37"/>
    <n v="0"/>
    <n v="0"/>
    <x v="0"/>
    <n v="0"/>
    <n v="0"/>
    <n v="1101408.17"/>
    <n v="0"/>
    <n v="0"/>
    <n v="1101408.17"/>
    <n v="0"/>
    <n v="0"/>
    <n v="0"/>
    <n v="0"/>
    <n v="0"/>
    <n v="0"/>
  </r>
  <r>
    <x v="37"/>
    <n v="0"/>
    <n v="0"/>
    <x v="0"/>
    <n v="0"/>
    <n v="0"/>
    <n v="0"/>
    <n v="0"/>
    <n v="0"/>
    <n v="0"/>
    <n v="0"/>
    <n v="0"/>
    <n v="0"/>
    <n v="0"/>
    <n v="0"/>
    <n v="0"/>
  </r>
  <r>
    <x v="37"/>
    <n v="0"/>
    <n v="0"/>
    <x v="0"/>
    <n v="0"/>
    <n v="0"/>
    <n v="0"/>
    <n v="0"/>
    <n v="0"/>
    <n v="0"/>
    <n v="0"/>
    <n v="0"/>
    <n v="0"/>
    <n v="0"/>
    <n v="0"/>
    <n v="0"/>
  </r>
  <r>
    <x v="37"/>
    <n v="0"/>
    <n v="0"/>
    <x v="0"/>
    <n v="0"/>
    <n v="0"/>
    <n v="0"/>
    <n v="0"/>
    <n v="0"/>
    <n v="0"/>
    <n v="0"/>
    <n v="0"/>
    <n v="0"/>
    <n v="0"/>
    <n v="0"/>
    <n v="0"/>
  </r>
  <r>
    <x v="37"/>
    <n v="0"/>
    <n v="0"/>
    <x v="0"/>
    <n v="0"/>
    <n v="0"/>
    <n v="0"/>
    <n v="0"/>
    <n v="0"/>
    <n v="0"/>
    <n v="0"/>
    <n v="21104.38"/>
    <n v="0"/>
    <n v="0"/>
    <n v="0"/>
    <n v="21104.38"/>
  </r>
  <r>
    <x v="37"/>
    <n v="0"/>
    <n v="0"/>
    <x v="0"/>
    <n v="0"/>
    <n v="0"/>
    <n v="0"/>
    <n v="0"/>
    <n v="0"/>
    <n v="0"/>
    <n v="0"/>
    <n v="0"/>
    <n v="18013.12"/>
    <n v="0"/>
    <n v="0"/>
    <n v="18013.12"/>
  </r>
  <r>
    <x v="37"/>
    <n v="0"/>
    <n v="0"/>
    <x v="0"/>
    <n v="0"/>
    <n v="0"/>
    <n v="0"/>
    <n v="0"/>
    <n v="0"/>
    <n v="0"/>
    <n v="0"/>
    <n v="0"/>
    <n v="0"/>
    <n v="0"/>
    <n v="-40943.08"/>
    <n v="-40943.08"/>
  </r>
  <r>
    <x v="38"/>
    <n v="3518963.54"/>
    <n v="0"/>
    <x v="0"/>
    <n v="0"/>
    <n v="0"/>
    <n v="0"/>
    <n v="0"/>
    <n v="0"/>
    <n v="3518963.54"/>
    <n v="0"/>
    <n v="0"/>
    <n v="0"/>
    <n v="0"/>
    <n v="0"/>
    <n v="0"/>
  </r>
  <r>
    <x v="38"/>
    <n v="0"/>
    <n v="144150.79999999999"/>
    <x v="0"/>
    <n v="0"/>
    <n v="0"/>
    <n v="0"/>
    <n v="0"/>
    <n v="0"/>
    <n v="144150.79999999999"/>
    <n v="0"/>
    <n v="0"/>
    <n v="0"/>
    <n v="0"/>
    <n v="0"/>
    <n v="0"/>
  </r>
  <r>
    <x v="38"/>
    <n v="0"/>
    <n v="0"/>
    <x v="39"/>
    <n v="0"/>
    <n v="0"/>
    <n v="0"/>
    <n v="0"/>
    <n v="0"/>
    <n v="938115.71"/>
    <n v="0"/>
    <n v="0"/>
    <n v="0"/>
    <n v="0"/>
    <n v="0"/>
    <n v="0"/>
  </r>
  <r>
    <x v="38"/>
    <n v="0"/>
    <n v="0"/>
    <x v="0"/>
    <n v="167130.06"/>
    <n v="0"/>
    <n v="0"/>
    <n v="0"/>
    <n v="0"/>
    <n v="167130.06"/>
    <n v="0"/>
    <n v="0"/>
    <n v="0"/>
    <n v="0"/>
    <n v="0"/>
    <n v="0"/>
  </r>
  <r>
    <x v="38"/>
    <n v="0"/>
    <n v="0"/>
    <x v="0"/>
    <n v="0"/>
    <n v="734.57"/>
    <n v="0"/>
    <n v="0"/>
    <n v="0"/>
    <n v="734.57"/>
    <n v="0"/>
    <n v="0"/>
    <n v="0"/>
    <n v="0"/>
    <n v="0"/>
    <n v="0"/>
  </r>
  <r>
    <x v="38"/>
    <n v="0"/>
    <n v="0"/>
    <x v="0"/>
    <n v="0"/>
    <n v="0"/>
    <n v="1513474.18"/>
    <n v="0"/>
    <n v="0"/>
    <n v="1513474.18"/>
    <n v="0"/>
    <n v="0"/>
    <n v="0"/>
    <n v="0"/>
    <n v="0"/>
    <n v="0"/>
  </r>
  <r>
    <x v="38"/>
    <n v="0"/>
    <n v="0"/>
    <x v="0"/>
    <n v="0"/>
    <n v="0"/>
    <n v="0"/>
    <n v="0"/>
    <n v="0"/>
    <n v="0"/>
    <n v="0"/>
    <n v="0"/>
    <n v="0"/>
    <n v="0"/>
    <n v="0"/>
    <n v="0"/>
  </r>
  <r>
    <x v="38"/>
    <n v="0"/>
    <n v="0"/>
    <x v="0"/>
    <n v="0"/>
    <n v="0"/>
    <n v="0"/>
    <n v="0"/>
    <n v="0"/>
    <n v="0"/>
    <n v="0"/>
    <n v="0"/>
    <n v="0"/>
    <n v="0"/>
    <n v="0"/>
    <n v="0"/>
  </r>
  <r>
    <x v="38"/>
    <n v="0"/>
    <n v="0"/>
    <x v="0"/>
    <n v="0"/>
    <n v="0"/>
    <n v="0"/>
    <n v="0"/>
    <n v="0"/>
    <n v="0"/>
    <n v="0"/>
    <n v="0"/>
    <n v="0"/>
    <n v="0"/>
    <n v="0"/>
    <n v="0"/>
  </r>
  <r>
    <x v="38"/>
    <n v="0"/>
    <n v="0"/>
    <x v="0"/>
    <n v="0"/>
    <n v="0"/>
    <n v="0"/>
    <n v="0"/>
    <n v="0"/>
    <n v="0"/>
    <n v="0"/>
    <n v="31386.01"/>
    <n v="0"/>
    <n v="0"/>
    <n v="0"/>
    <n v="31386.01"/>
  </r>
  <r>
    <x v="38"/>
    <n v="0"/>
    <n v="0"/>
    <x v="0"/>
    <n v="0"/>
    <n v="0"/>
    <n v="0"/>
    <n v="0"/>
    <n v="0"/>
    <n v="0"/>
    <n v="0"/>
    <n v="0"/>
    <n v="34915.78"/>
    <n v="0"/>
    <n v="0"/>
    <n v="34915.78"/>
  </r>
  <r>
    <x v="38"/>
    <n v="0"/>
    <n v="0"/>
    <x v="0"/>
    <n v="0"/>
    <n v="0"/>
    <n v="0"/>
    <n v="0"/>
    <n v="0"/>
    <n v="0"/>
    <n v="0"/>
    <n v="0"/>
    <n v="0"/>
    <n v="0"/>
    <n v="-93811.57"/>
    <n v="-93811.57"/>
  </r>
  <r>
    <x v="39"/>
    <n v="2820596.45"/>
    <n v="0"/>
    <x v="0"/>
    <n v="0"/>
    <n v="0"/>
    <n v="0"/>
    <n v="0"/>
    <n v="0"/>
    <n v="2820596.45"/>
    <n v="0"/>
    <n v="0"/>
    <n v="0"/>
    <n v="0"/>
    <n v="0"/>
    <n v="0"/>
  </r>
  <r>
    <x v="39"/>
    <n v="0"/>
    <n v="116013.91"/>
    <x v="0"/>
    <n v="0"/>
    <n v="0"/>
    <n v="0"/>
    <n v="0"/>
    <n v="0"/>
    <n v="116013.91"/>
    <n v="0"/>
    <n v="0"/>
    <n v="0"/>
    <n v="0"/>
    <n v="0"/>
    <n v="0"/>
  </r>
  <r>
    <x v="39"/>
    <n v="0"/>
    <n v="0"/>
    <x v="40"/>
    <n v="0"/>
    <n v="0"/>
    <n v="0"/>
    <n v="0"/>
    <n v="0"/>
    <n v="664261.14"/>
    <n v="0"/>
    <n v="0"/>
    <n v="0"/>
    <n v="0"/>
    <n v="0"/>
    <n v="0"/>
  </r>
  <r>
    <x v="39"/>
    <n v="0"/>
    <n v="0"/>
    <x v="0"/>
    <n v="50765.27"/>
    <n v="0"/>
    <n v="0"/>
    <n v="0"/>
    <n v="0"/>
    <n v="50765.27"/>
    <n v="0"/>
    <n v="0"/>
    <n v="0"/>
    <n v="0"/>
    <n v="0"/>
    <n v="0"/>
  </r>
  <r>
    <x v="39"/>
    <n v="0"/>
    <n v="0"/>
    <x v="0"/>
    <n v="0"/>
    <n v="0"/>
    <n v="0"/>
    <n v="0"/>
    <n v="0"/>
    <n v="0"/>
    <n v="0"/>
    <n v="0"/>
    <n v="0"/>
    <n v="0"/>
    <n v="0"/>
    <n v="0"/>
  </r>
  <r>
    <x v="39"/>
    <n v="0"/>
    <n v="0"/>
    <x v="0"/>
    <n v="0"/>
    <n v="0"/>
    <n v="1116450.3899999999"/>
    <n v="0"/>
    <n v="0"/>
    <n v="1116450.3899999999"/>
    <n v="0"/>
    <n v="0"/>
    <n v="0"/>
    <n v="0"/>
    <n v="0"/>
    <n v="0"/>
  </r>
  <r>
    <x v="39"/>
    <n v="0"/>
    <n v="0"/>
    <x v="0"/>
    <n v="0"/>
    <n v="0"/>
    <n v="0"/>
    <n v="0"/>
    <n v="0"/>
    <n v="0"/>
    <n v="0"/>
    <n v="0"/>
    <n v="0"/>
    <n v="0"/>
    <n v="0"/>
    <n v="0"/>
  </r>
  <r>
    <x v="39"/>
    <n v="0"/>
    <n v="0"/>
    <x v="0"/>
    <n v="0"/>
    <n v="0"/>
    <n v="0"/>
    <n v="0"/>
    <n v="0"/>
    <n v="0"/>
    <n v="0"/>
    <n v="0"/>
    <n v="0"/>
    <n v="0"/>
    <n v="0"/>
    <n v="0"/>
  </r>
  <r>
    <x v="39"/>
    <n v="0"/>
    <n v="0"/>
    <x v="0"/>
    <n v="0"/>
    <n v="0"/>
    <n v="0"/>
    <n v="0"/>
    <n v="0"/>
    <n v="0"/>
    <n v="0"/>
    <n v="0"/>
    <n v="0"/>
    <n v="0"/>
    <n v="0"/>
    <n v="0"/>
  </r>
  <r>
    <x v="39"/>
    <n v="0"/>
    <n v="0"/>
    <x v="0"/>
    <n v="0"/>
    <n v="0"/>
    <n v="0"/>
    <n v="0"/>
    <n v="0"/>
    <n v="0"/>
    <n v="0"/>
    <n v="6682.26"/>
    <n v="0"/>
    <n v="0"/>
    <n v="0"/>
    <n v="6682.26"/>
  </r>
  <r>
    <x v="39"/>
    <n v="0"/>
    <n v="0"/>
    <x v="0"/>
    <n v="0"/>
    <n v="0"/>
    <n v="0"/>
    <n v="0"/>
    <n v="0"/>
    <n v="0"/>
    <n v="0"/>
    <n v="0"/>
    <n v="23360.65"/>
    <n v="0"/>
    <n v="0"/>
    <n v="23360.65"/>
  </r>
  <r>
    <x v="39"/>
    <n v="0"/>
    <n v="0"/>
    <x v="0"/>
    <n v="0"/>
    <n v="0"/>
    <n v="0"/>
    <n v="0"/>
    <n v="0"/>
    <n v="0"/>
    <n v="0"/>
    <n v="0"/>
    <n v="0"/>
    <n v="400249.87"/>
    <n v="0"/>
    <n v="400249.87"/>
  </r>
  <r>
    <x v="40"/>
    <n v="1924648.01"/>
    <n v="0"/>
    <x v="0"/>
    <n v="0"/>
    <n v="0"/>
    <n v="0"/>
    <n v="0"/>
    <n v="0"/>
    <n v="1924648.01"/>
    <n v="0"/>
    <n v="0"/>
    <n v="0"/>
    <n v="0"/>
    <n v="0"/>
    <n v="0"/>
  </r>
  <r>
    <x v="40"/>
    <n v="0"/>
    <n v="69246.98"/>
    <x v="0"/>
    <n v="0"/>
    <n v="0"/>
    <n v="0"/>
    <n v="0"/>
    <n v="0"/>
    <n v="69246.98"/>
    <n v="0"/>
    <n v="0"/>
    <n v="0"/>
    <n v="0"/>
    <n v="0"/>
    <n v="0"/>
  </r>
  <r>
    <x v="40"/>
    <n v="0"/>
    <n v="0"/>
    <x v="41"/>
    <n v="0"/>
    <n v="0"/>
    <n v="0"/>
    <n v="0"/>
    <n v="0"/>
    <n v="326929.93"/>
    <n v="0"/>
    <n v="0"/>
    <n v="0"/>
    <n v="0"/>
    <n v="0"/>
    <n v="0"/>
  </r>
  <r>
    <x v="40"/>
    <n v="0"/>
    <n v="0"/>
    <x v="0"/>
    <n v="20506.36"/>
    <n v="0"/>
    <n v="0"/>
    <n v="0"/>
    <n v="0"/>
    <n v="20506.36"/>
    <n v="0"/>
    <n v="0"/>
    <n v="0"/>
    <n v="0"/>
    <n v="0"/>
    <n v="0"/>
  </r>
  <r>
    <x v="40"/>
    <n v="0"/>
    <n v="0"/>
    <x v="0"/>
    <n v="0"/>
    <n v="0"/>
    <n v="0"/>
    <n v="0"/>
    <n v="0"/>
    <n v="0"/>
    <n v="0"/>
    <n v="0"/>
    <n v="0"/>
    <n v="0"/>
    <n v="0"/>
    <n v="0"/>
  </r>
  <r>
    <x v="40"/>
    <n v="0"/>
    <n v="0"/>
    <x v="0"/>
    <n v="0"/>
    <n v="0"/>
    <n v="874568.22"/>
    <n v="0"/>
    <n v="0"/>
    <n v="874568.22"/>
    <n v="0"/>
    <n v="0"/>
    <n v="0"/>
    <n v="0"/>
    <n v="0"/>
    <n v="0"/>
  </r>
  <r>
    <x v="40"/>
    <n v="0"/>
    <n v="0"/>
    <x v="0"/>
    <n v="0"/>
    <n v="0"/>
    <n v="0"/>
    <n v="0"/>
    <n v="0"/>
    <n v="0"/>
    <n v="0"/>
    <n v="0"/>
    <n v="0"/>
    <n v="0"/>
    <n v="0"/>
    <n v="0"/>
  </r>
  <r>
    <x v="40"/>
    <n v="0"/>
    <n v="0"/>
    <x v="0"/>
    <n v="0"/>
    <n v="0"/>
    <n v="0"/>
    <n v="0"/>
    <n v="0"/>
    <n v="0"/>
    <n v="0"/>
    <n v="0"/>
    <n v="0"/>
    <n v="0"/>
    <n v="0"/>
    <n v="0"/>
  </r>
  <r>
    <x v="40"/>
    <n v="0"/>
    <n v="0"/>
    <x v="0"/>
    <n v="0"/>
    <n v="0"/>
    <n v="0"/>
    <n v="0"/>
    <n v="0"/>
    <n v="0"/>
    <n v="0"/>
    <n v="0"/>
    <n v="0"/>
    <n v="0"/>
    <n v="0"/>
    <n v="0"/>
  </r>
  <r>
    <x v="40"/>
    <n v="0"/>
    <n v="0"/>
    <x v="0"/>
    <n v="0"/>
    <n v="0"/>
    <n v="0"/>
    <n v="0"/>
    <n v="0"/>
    <n v="0"/>
    <n v="0"/>
    <n v="13433.07"/>
    <n v="0"/>
    <n v="0"/>
    <n v="0"/>
    <n v="13433.07"/>
  </r>
  <r>
    <x v="40"/>
    <n v="0"/>
    <n v="0"/>
    <x v="0"/>
    <n v="0"/>
    <n v="0"/>
    <n v="0"/>
    <n v="0"/>
    <n v="0"/>
    <n v="0"/>
    <n v="0"/>
    <n v="0"/>
    <n v="18284.91"/>
    <n v="0"/>
    <n v="0"/>
    <n v="18284.91"/>
  </r>
  <r>
    <x v="40"/>
    <n v="0"/>
    <n v="0"/>
    <x v="0"/>
    <n v="0"/>
    <n v="0"/>
    <n v="0"/>
    <n v="0"/>
    <n v="0"/>
    <n v="0"/>
    <n v="0"/>
    <n v="0"/>
    <n v="0"/>
    <n v="0"/>
    <n v="-32692.99"/>
    <n v="-32692.99"/>
  </r>
  <r>
    <x v="41"/>
    <n v="3469720.45"/>
    <n v="0"/>
    <x v="0"/>
    <n v="0"/>
    <n v="0"/>
    <n v="0"/>
    <n v="0"/>
    <n v="0"/>
    <n v="3469720.45"/>
    <n v="0"/>
    <n v="0"/>
    <n v="0"/>
    <n v="0"/>
    <n v="0"/>
    <n v="0"/>
  </r>
  <r>
    <x v="41"/>
    <n v="0"/>
    <n v="139567.66"/>
    <x v="0"/>
    <n v="0"/>
    <n v="0"/>
    <n v="0"/>
    <n v="0"/>
    <n v="0"/>
    <n v="139567.66"/>
    <n v="0"/>
    <n v="0"/>
    <n v="0"/>
    <n v="0"/>
    <n v="0"/>
    <n v="0"/>
  </r>
  <r>
    <x v="41"/>
    <n v="0"/>
    <n v="0"/>
    <x v="42"/>
    <n v="0"/>
    <n v="0"/>
    <n v="0"/>
    <n v="0"/>
    <n v="0"/>
    <n v="1178259.19"/>
    <n v="0"/>
    <n v="0"/>
    <n v="0"/>
    <n v="0"/>
    <n v="0"/>
    <n v="0"/>
  </r>
  <r>
    <x v="41"/>
    <n v="0"/>
    <n v="0"/>
    <x v="0"/>
    <n v="736059.72"/>
    <n v="0"/>
    <n v="0"/>
    <n v="0"/>
    <n v="0"/>
    <n v="736059.72"/>
    <n v="0"/>
    <n v="0"/>
    <n v="0"/>
    <n v="0"/>
    <n v="0"/>
    <n v="0"/>
  </r>
  <r>
    <x v="41"/>
    <n v="0"/>
    <n v="0"/>
    <x v="0"/>
    <n v="0"/>
    <n v="0"/>
    <n v="0"/>
    <n v="0"/>
    <n v="0"/>
    <n v="0"/>
    <n v="0"/>
    <n v="0"/>
    <n v="0"/>
    <n v="0"/>
    <n v="0"/>
    <n v="0"/>
  </r>
  <r>
    <x v="41"/>
    <n v="0"/>
    <n v="0"/>
    <x v="0"/>
    <n v="0"/>
    <n v="0"/>
    <n v="1874252.71"/>
    <n v="0"/>
    <n v="0"/>
    <n v="1874252.71"/>
    <n v="0"/>
    <n v="0"/>
    <n v="0"/>
    <n v="0"/>
    <n v="0"/>
    <n v="0"/>
  </r>
  <r>
    <x v="41"/>
    <n v="0"/>
    <n v="0"/>
    <x v="0"/>
    <n v="0"/>
    <n v="0"/>
    <n v="0"/>
    <n v="0"/>
    <n v="0"/>
    <n v="0"/>
    <n v="0"/>
    <n v="0"/>
    <n v="0"/>
    <n v="0"/>
    <n v="0"/>
    <n v="0"/>
  </r>
  <r>
    <x v="41"/>
    <n v="0"/>
    <n v="0"/>
    <x v="0"/>
    <n v="0"/>
    <n v="0"/>
    <n v="0"/>
    <n v="0"/>
    <n v="148222.75"/>
    <n v="148222.75"/>
    <n v="0"/>
    <n v="0"/>
    <n v="0"/>
    <n v="0"/>
    <n v="0"/>
    <n v="0"/>
  </r>
  <r>
    <x v="41"/>
    <n v="0"/>
    <n v="0"/>
    <x v="0"/>
    <n v="0"/>
    <n v="0"/>
    <n v="0"/>
    <n v="0"/>
    <n v="0"/>
    <n v="0"/>
    <n v="0"/>
    <n v="0"/>
    <n v="0"/>
    <n v="0"/>
    <n v="0"/>
    <n v="0"/>
  </r>
  <r>
    <x v="41"/>
    <n v="0"/>
    <n v="0"/>
    <x v="0"/>
    <n v="0"/>
    <n v="0"/>
    <n v="0"/>
    <n v="0"/>
    <n v="0"/>
    <n v="0"/>
    <n v="0"/>
    <n v="17799.13"/>
    <n v="0"/>
    <n v="0"/>
    <n v="0"/>
    <n v="17799.13"/>
  </r>
  <r>
    <x v="41"/>
    <n v="0"/>
    <n v="0"/>
    <x v="0"/>
    <n v="0"/>
    <n v="0"/>
    <n v="0"/>
    <n v="0"/>
    <n v="0"/>
    <n v="0"/>
    <n v="0"/>
    <n v="0"/>
    <n v="25508.53"/>
    <n v="0"/>
    <n v="0"/>
    <n v="25508.53"/>
  </r>
  <r>
    <x v="41"/>
    <n v="0"/>
    <n v="0"/>
    <x v="0"/>
    <n v="0"/>
    <n v="0"/>
    <n v="0"/>
    <n v="0"/>
    <n v="0"/>
    <n v="0"/>
    <n v="0"/>
    <n v="0"/>
    <n v="0"/>
    <n v="0"/>
    <n v="-117825.92"/>
    <n v="-117825.92"/>
  </r>
  <r>
    <x v="42"/>
    <n v="4612510.5"/>
    <n v="0"/>
    <x v="0"/>
    <n v="0"/>
    <n v="0"/>
    <n v="0"/>
    <n v="0"/>
    <n v="0"/>
    <n v="4612510.5"/>
    <n v="0"/>
    <n v="0"/>
    <n v="0"/>
    <n v="0"/>
    <n v="0"/>
    <n v="0"/>
  </r>
  <r>
    <x v="42"/>
    <n v="0"/>
    <n v="198978.3"/>
    <x v="0"/>
    <n v="0"/>
    <n v="0"/>
    <n v="0"/>
    <n v="0"/>
    <n v="0"/>
    <n v="198978.3"/>
    <n v="0"/>
    <n v="0"/>
    <n v="0"/>
    <n v="0"/>
    <n v="0"/>
    <n v="0"/>
  </r>
  <r>
    <x v="42"/>
    <n v="0"/>
    <n v="0"/>
    <x v="43"/>
    <n v="0"/>
    <n v="0"/>
    <n v="0"/>
    <n v="0"/>
    <n v="0"/>
    <n v="687941.7"/>
    <n v="0"/>
    <n v="0"/>
    <n v="0"/>
    <n v="0"/>
    <n v="0"/>
    <n v="0"/>
  </r>
  <r>
    <x v="42"/>
    <n v="0"/>
    <n v="0"/>
    <x v="0"/>
    <n v="558.24"/>
    <n v="0"/>
    <n v="0"/>
    <n v="0"/>
    <n v="0"/>
    <n v="558.24"/>
    <n v="0"/>
    <n v="0"/>
    <n v="0"/>
    <n v="0"/>
    <n v="0"/>
    <n v="0"/>
  </r>
  <r>
    <x v="42"/>
    <n v="0"/>
    <n v="0"/>
    <x v="0"/>
    <n v="0"/>
    <n v="626.41"/>
    <n v="0"/>
    <n v="0"/>
    <n v="0"/>
    <n v="626.41"/>
    <n v="0"/>
    <n v="0"/>
    <n v="0"/>
    <n v="0"/>
    <n v="0"/>
    <n v="0"/>
  </r>
  <r>
    <x v="42"/>
    <n v="0"/>
    <n v="0"/>
    <x v="0"/>
    <n v="0"/>
    <n v="0"/>
    <n v="2065603.38"/>
    <n v="0"/>
    <n v="0"/>
    <n v="2065603.38"/>
    <n v="0"/>
    <n v="0"/>
    <n v="0"/>
    <n v="0"/>
    <n v="0"/>
    <n v="0"/>
  </r>
  <r>
    <x v="42"/>
    <n v="0"/>
    <n v="0"/>
    <x v="0"/>
    <n v="0"/>
    <n v="0"/>
    <n v="0"/>
    <n v="0"/>
    <n v="0"/>
    <n v="0"/>
    <n v="0"/>
    <n v="0"/>
    <n v="0"/>
    <n v="0"/>
    <n v="0"/>
    <n v="0"/>
  </r>
  <r>
    <x v="42"/>
    <n v="0"/>
    <n v="0"/>
    <x v="0"/>
    <n v="0"/>
    <n v="0"/>
    <n v="0"/>
    <n v="0"/>
    <n v="0"/>
    <n v="0"/>
    <n v="0"/>
    <n v="0"/>
    <n v="0"/>
    <n v="0"/>
    <n v="0"/>
    <n v="0"/>
  </r>
  <r>
    <x v="42"/>
    <n v="0"/>
    <n v="0"/>
    <x v="0"/>
    <n v="0"/>
    <n v="0"/>
    <n v="0"/>
    <n v="0"/>
    <n v="0"/>
    <n v="0"/>
    <n v="0"/>
    <n v="0"/>
    <n v="0"/>
    <n v="0"/>
    <n v="0"/>
    <n v="0"/>
  </r>
  <r>
    <x v="42"/>
    <n v="0"/>
    <n v="0"/>
    <x v="0"/>
    <n v="0"/>
    <n v="0"/>
    <n v="0"/>
    <n v="0"/>
    <n v="0"/>
    <n v="0"/>
    <n v="0"/>
    <n v="3237.26"/>
    <n v="0"/>
    <n v="0"/>
    <n v="0"/>
    <n v="3237.26"/>
  </r>
  <r>
    <x v="42"/>
    <n v="0"/>
    <n v="0"/>
    <x v="0"/>
    <n v="0"/>
    <n v="0"/>
    <n v="0"/>
    <n v="0"/>
    <n v="0"/>
    <n v="0"/>
    <n v="0"/>
    <n v="0"/>
    <n v="52048.32"/>
    <n v="0"/>
    <n v="0"/>
    <n v="52048.32"/>
  </r>
  <r>
    <x v="42"/>
    <n v="0"/>
    <n v="0"/>
    <x v="0"/>
    <n v="0"/>
    <n v="0"/>
    <n v="0"/>
    <n v="0"/>
    <n v="0"/>
    <n v="0"/>
    <n v="0"/>
    <n v="0"/>
    <n v="0"/>
    <n v="0"/>
    <n v="-68794.17"/>
    <n v="-68794.17"/>
  </r>
  <r>
    <x v="43"/>
    <n v="6169679.2699999996"/>
    <n v="0"/>
    <x v="0"/>
    <n v="0"/>
    <n v="0"/>
    <n v="0"/>
    <n v="0"/>
    <n v="0"/>
    <n v="6169679.2699999996"/>
    <n v="0"/>
    <n v="0"/>
    <n v="0"/>
    <n v="0"/>
    <n v="0"/>
    <n v="0"/>
  </r>
  <r>
    <x v="43"/>
    <n v="0"/>
    <n v="264204.34000000003"/>
    <x v="0"/>
    <n v="0"/>
    <n v="0"/>
    <n v="0"/>
    <n v="0"/>
    <n v="0"/>
    <n v="264204.34000000003"/>
    <n v="0"/>
    <n v="0"/>
    <n v="0"/>
    <n v="0"/>
    <n v="0"/>
    <n v="0"/>
  </r>
  <r>
    <x v="43"/>
    <n v="0"/>
    <n v="0"/>
    <x v="44"/>
    <n v="0"/>
    <n v="0"/>
    <n v="0"/>
    <n v="0"/>
    <n v="0"/>
    <n v="1418587.63"/>
    <n v="0"/>
    <n v="0"/>
    <n v="0"/>
    <n v="0"/>
    <n v="0"/>
    <n v="0"/>
  </r>
  <r>
    <x v="43"/>
    <n v="0"/>
    <n v="0"/>
    <x v="0"/>
    <n v="77656.12"/>
    <n v="0"/>
    <n v="0"/>
    <n v="0"/>
    <n v="0"/>
    <n v="77656.12"/>
    <n v="0"/>
    <n v="0"/>
    <n v="0"/>
    <n v="0"/>
    <n v="0"/>
    <n v="0"/>
  </r>
  <r>
    <x v="43"/>
    <n v="0"/>
    <n v="0"/>
    <x v="0"/>
    <n v="0"/>
    <n v="755.68"/>
    <n v="0"/>
    <n v="0"/>
    <n v="0"/>
    <n v="755.68"/>
    <n v="0"/>
    <n v="0"/>
    <n v="0"/>
    <n v="0"/>
    <n v="0"/>
    <n v="0"/>
  </r>
  <r>
    <x v="43"/>
    <n v="0"/>
    <n v="0"/>
    <x v="0"/>
    <n v="0"/>
    <n v="0"/>
    <n v="3574754.2"/>
    <n v="0"/>
    <n v="0"/>
    <n v="3574754.2"/>
    <n v="0"/>
    <n v="0"/>
    <n v="0"/>
    <n v="0"/>
    <n v="0"/>
    <n v="0"/>
  </r>
  <r>
    <x v="43"/>
    <n v="0"/>
    <n v="0"/>
    <x v="0"/>
    <n v="0"/>
    <n v="0"/>
    <n v="0"/>
    <n v="0"/>
    <n v="0"/>
    <n v="0"/>
    <n v="0"/>
    <n v="0"/>
    <n v="0"/>
    <n v="0"/>
    <n v="0"/>
    <n v="0"/>
  </r>
  <r>
    <x v="43"/>
    <n v="0"/>
    <n v="0"/>
    <x v="0"/>
    <n v="0"/>
    <n v="0"/>
    <n v="0"/>
    <n v="0"/>
    <n v="0"/>
    <n v="0"/>
    <n v="0"/>
    <n v="0"/>
    <n v="0"/>
    <n v="0"/>
    <n v="0"/>
    <n v="0"/>
  </r>
  <r>
    <x v="43"/>
    <n v="0"/>
    <n v="0"/>
    <x v="0"/>
    <n v="0"/>
    <n v="0"/>
    <n v="0"/>
    <n v="0"/>
    <n v="0"/>
    <n v="0"/>
    <n v="0"/>
    <n v="0"/>
    <n v="0"/>
    <n v="0"/>
    <n v="0"/>
    <n v="0"/>
  </r>
  <r>
    <x v="43"/>
    <n v="0"/>
    <n v="0"/>
    <x v="0"/>
    <n v="0"/>
    <n v="0"/>
    <n v="0"/>
    <n v="0"/>
    <n v="0"/>
    <n v="0"/>
    <n v="0"/>
    <n v="16084.91"/>
    <n v="0"/>
    <n v="0"/>
    <n v="0"/>
    <n v="16084.91"/>
  </r>
  <r>
    <x v="43"/>
    <n v="0"/>
    <n v="0"/>
    <x v="0"/>
    <n v="0"/>
    <n v="0"/>
    <n v="0"/>
    <n v="0"/>
    <n v="0"/>
    <n v="0"/>
    <n v="0"/>
    <n v="0"/>
    <n v="41007.269999999997"/>
    <n v="0"/>
    <n v="0"/>
    <n v="41007.269999999997"/>
  </r>
  <r>
    <x v="43"/>
    <n v="0"/>
    <n v="0"/>
    <x v="0"/>
    <n v="0"/>
    <n v="0"/>
    <n v="0"/>
    <n v="0"/>
    <n v="0"/>
    <n v="0"/>
    <n v="0"/>
    <n v="0"/>
    <n v="0"/>
    <n v="0"/>
    <n v="-141858.76"/>
    <n v="-141858.76"/>
  </r>
  <r>
    <x v="44"/>
    <n v="1998102.28"/>
    <n v="0"/>
    <x v="0"/>
    <n v="0"/>
    <n v="0"/>
    <n v="0"/>
    <n v="0"/>
    <n v="0"/>
    <n v="1998102.28"/>
    <n v="0"/>
    <n v="0"/>
    <n v="0"/>
    <n v="0"/>
    <n v="0"/>
    <n v="0"/>
  </r>
  <r>
    <x v="44"/>
    <n v="0"/>
    <n v="71018.73"/>
    <x v="0"/>
    <n v="0"/>
    <n v="0"/>
    <n v="0"/>
    <n v="0"/>
    <n v="0"/>
    <n v="71018.73"/>
    <n v="0"/>
    <n v="0"/>
    <n v="0"/>
    <n v="0"/>
    <n v="0"/>
    <n v="0"/>
  </r>
  <r>
    <x v="44"/>
    <n v="0"/>
    <n v="0"/>
    <x v="45"/>
    <n v="0"/>
    <n v="0"/>
    <n v="0"/>
    <n v="0"/>
    <n v="0"/>
    <n v="317060.07"/>
    <n v="0"/>
    <n v="0"/>
    <n v="0"/>
    <n v="0"/>
    <n v="0"/>
    <n v="0"/>
  </r>
  <r>
    <x v="44"/>
    <n v="0"/>
    <n v="0"/>
    <x v="0"/>
    <n v="60585.27"/>
    <n v="0"/>
    <n v="0"/>
    <n v="0"/>
    <n v="0"/>
    <n v="60585.27"/>
    <n v="0"/>
    <n v="0"/>
    <n v="0"/>
    <n v="0"/>
    <n v="0"/>
    <n v="0"/>
  </r>
  <r>
    <x v="44"/>
    <n v="0"/>
    <n v="0"/>
    <x v="0"/>
    <n v="0"/>
    <n v="0"/>
    <n v="0"/>
    <n v="0"/>
    <n v="0"/>
    <n v="0"/>
    <n v="0"/>
    <n v="0"/>
    <n v="0"/>
    <n v="0"/>
    <n v="0"/>
    <n v="0"/>
  </r>
  <r>
    <x v="44"/>
    <n v="0"/>
    <n v="0"/>
    <x v="0"/>
    <n v="0"/>
    <n v="0"/>
    <n v="883493.69"/>
    <n v="0"/>
    <n v="0"/>
    <n v="883493.69"/>
    <n v="0"/>
    <n v="0"/>
    <n v="0"/>
    <n v="0"/>
    <n v="0"/>
    <n v="0"/>
  </r>
  <r>
    <x v="44"/>
    <n v="0"/>
    <n v="0"/>
    <x v="0"/>
    <n v="0"/>
    <n v="0"/>
    <n v="0"/>
    <n v="0"/>
    <n v="0"/>
    <n v="0"/>
    <n v="0"/>
    <n v="0"/>
    <n v="0"/>
    <n v="0"/>
    <n v="0"/>
    <n v="0"/>
  </r>
  <r>
    <x v="44"/>
    <n v="0"/>
    <n v="0"/>
    <x v="0"/>
    <n v="0"/>
    <n v="0"/>
    <n v="0"/>
    <n v="0"/>
    <n v="0"/>
    <n v="0"/>
    <n v="0"/>
    <n v="0"/>
    <n v="0"/>
    <n v="0"/>
    <n v="0"/>
    <n v="0"/>
  </r>
  <r>
    <x v="44"/>
    <n v="0"/>
    <n v="0"/>
    <x v="0"/>
    <n v="0"/>
    <n v="0"/>
    <n v="0"/>
    <n v="0"/>
    <n v="0"/>
    <n v="0"/>
    <n v="0"/>
    <n v="0"/>
    <n v="0"/>
    <n v="0"/>
    <n v="0"/>
    <n v="0"/>
  </r>
  <r>
    <x v="44"/>
    <n v="0"/>
    <n v="0"/>
    <x v="0"/>
    <n v="0"/>
    <n v="0"/>
    <n v="0"/>
    <n v="0"/>
    <n v="0"/>
    <n v="0"/>
    <n v="0"/>
    <n v="5568.88"/>
    <n v="0"/>
    <n v="0"/>
    <n v="0"/>
    <n v="5568.88"/>
  </r>
  <r>
    <x v="44"/>
    <n v="0"/>
    <n v="0"/>
    <x v="0"/>
    <n v="0"/>
    <n v="0"/>
    <n v="0"/>
    <n v="0"/>
    <n v="0"/>
    <n v="0"/>
    <n v="0"/>
    <n v="0"/>
    <n v="12385.14"/>
    <n v="0"/>
    <n v="0"/>
    <n v="12385.14"/>
  </r>
  <r>
    <x v="44"/>
    <n v="0"/>
    <n v="0"/>
    <x v="0"/>
    <n v="0"/>
    <n v="0"/>
    <n v="0"/>
    <n v="0"/>
    <n v="0"/>
    <n v="0"/>
    <n v="0"/>
    <n v="0"/>
    <n v="0"/>
    <n v="22602.93"/>
    <n v="0"/>
    <n v="22602.93"/>
  </r>
  <r>
    <x v="45"/>
    <n v="1901705.37"/>
    <n v="0"/>
    <x v="0"/>
    <n v="0"/>
    <n v="0"/>
    <n v="0"/>
    <n v="0"/>
    <n v="0"/>
    <n v="1901705.37"/>
    <n v="0"/>
    <n v="0"/>
    <n v="0"/>
    <n v="0"/>
    <n v="0"/>
    <n v="0"/>
  </r>
  <r>
    <x v="45"/>
    <n v="0"/>
    <n v="66697.14"/>
    <x v="0"/>
    <n v="0"/>
    <n v="0"/>
    <n v="0"/>
    <n v="0"/>
    <n v="0"/>
    <n v="66697.14"/>
    <n v="0"/>
    <n v="0"/>
    <n v="0"/>
    <n v="0"/>
    <n v="0"/>
    <n v="0"/>
  </r>
  <r>
    <x v="45"/>
    <n v="0"/>
    <n v="0"/>
    <x v="46"/>
    <n v="0"/>
    <n v="0"/>
    <n v="0"/>
    <n v="0"/>
    <n v="0"/>
    <n v="177417.31"/>
    <n v="0"/>
    <n v="0"/>
    <n v="0"/>
    <n v="0"/>
    <n v="0"/>
    <n v="0"/>
  </r>
  <r>
    <x v="45"/>
    <n v="0"/>
    <n v="0"/>
    <x v="0"/>
    <n v="14552.33"/>
    <n v="0"/>
    <n v="0"/>
    <n v="0"/>
    <n v="0"/>
    <n v="14552.33"/>
    <n v="0"/>
    <n v="0"/>
    <n v="0"/>
    <n v="0"/>
    <n v="0"/>
    <n v="0"/>
  </r>
  <r>
    <x v="45"/>
    <n v="0"/>
    <n v="0"/>
    <x v="0"/>
    <n v="0"/>
    <n v="0"/>
    <n v="0"/>
    <n v="0"/>
    <n v="0"/>
    <n v="0"/>
    <n v="0"/>
    <n v="0"/>
    <n v="0"/>
    <n v="0"/>
    <n v="0"/>
    <n v="0"/>
  </r>
  <r>
    <x v="45"/>
    <n v="0"/>
    <n v="0"/>
    <x v="0"/>
    <n v="0"/>
    <n v="0"/>
    <n v="799183.24"/>
    <n v="0"/>
    <n v="0"/>
    <n v="799183.24"/>
    <n v="0"/>
    <n v="0"/>
    <n v="0"/>
    <n v="0"/>
    <n v="0"/>
    <n v="0"/>
  </r>
  <r>
    <x v="45"/>
    <n v="0"/>
    <n v="0"/>
    <x v="0"/>
    <n v="0"/>
    <n v="0"/>
    <n v="0"/>
    <n v="0"/>
    <n v="0"/>
    <n v="0"/>
    <n v="0"/>
    <n v="0"/>
    <n v="0"/>
    <n v="0"/>
    <n v="0"/>
    <n v="0"/>
  </r>
  <r>
    <x v="45"/>
    <n v="0"/>
    <n v="0"/>
    <x v="0"/>
    <n v="0"/>
    <n v="0"/>
    <n v="0"/>
    <n v="0"/>
    <n v="0"/>
    <n v="0"/>
    <n v="0"/>
    <n v="0"/>
    <n v="0"/>
    <n v="0"/>
    <n v="0"/>
    <n v="0"/>
  </r>
  <r>
    <x v="45"/>
    <n v="0"/>
    <n v="0"/>
    <x v="0"/>
    <n v="0"/>
    <n v="0"/>
    <n v="0"/>
    <n v="0"/>
    <n v="0"/>
    <n v="0"/>
    <n v="0"/>
    <n v="0"/>
    <n v="0"/>
    <n v="0"/>
    <n v="0"/>
    <n v="0"/>
  </r>
  <r>
    <x v="45"/>
    <n v="0"/>
    <n v="0"/>
    <x v="0"/>
    <n v="0"/>
    <n v="0"/>
    <n v="0"/>
    <n v="0"/>
    <n v="0"/>
    <n v="0"/>
    <n v="0"/>
    <n v="3540.34"/>
    <n v="0"/>
    <n v="0"/>
    <n v="0"/>
    <n v="3540.34"/>
  </r>
  <r>
    <x v="45"/>
    <n v="0"/>
    <n v="0"/>
    <x v="0"/>
    <n v="0"/>
    <n v="0"/>
    <n v="0"/>
    <n v="0"/>
    <n v="0"/>
    <n v="0"/>
    <n v="0"/>
    <n v="0"/>
    <n v="20963.060000000001"/>
    <n v="0"/>
    <n v="0"/>
    <n v="20963.060000000001"/>
  </r>
  <r>
    <x v="45"/>
    <n v="0"/>
    <n v="0"/>
    <x v="0"/>
    <n v="0"/>
    <n v="0"/>
    <n v="0"/>
    <n v="0"/>
    <n v="0"/>
    <n v="0"/>
    <n v="0"/>
    <n v="0"/>
    <n v="0"/>
    <n v="380.97"/>
    <n v="0"/>
    <n v="380.97"/>
  </r>
  <r>
    <x v="46"/>
    <n v="1602521.54"/>
    <n v="0"/>
    <x v="0"/>
    <n v="0"/>
    <n v="0"/>
    <n v="0"/>
    <n v="0"/>
    <n v="0"/>
    <n v="1602521.54"/>
    <n v="0"/>
    <n v="0"/>
    <n v="0"/>
    <n v="0"/>
    <n v="0"/>
    <n v="0"/>
  </r>
  <r>
    <x v="46"/>
    <n v="0"/>
    <n v="66251.28"/>
    <x v="0"/>
    <n v="0"/>
    <n v="0"/>
    <n v="0"/>
    <n v="0"/>
    <n v="0"/>
    <n v="66251.28"/>
    <n v="0"/>
    <n v="0"/>
    <n v="0"/>
    <n v="0"/>
    <n v="0"/>
    <n v="0"/>
  </r>
  <r>
    <x v="46"/>
    <n v="0"/>
    <n v="0"/>
    <x v="47"/>
    <n v="0"/>
    <n v="0"/>
    <n v="0"/>
    <n v="0"/>
    <n v="0"/>
    <n v="220545.89"/>
    <n v="0"/>
    <n v="0"/>
    <n v="0"/>
    <n v="0"/>
    <n v="0"/>
    <n v="0"/>
  </r>
  <r>
    <x v="46"/>
    <n v="0"/>
    <n v="0"/>
    <x v="0"/>
    <n v="17506.87"/>
    <n v="0"/>
    <n v="0"/>
    <n v="0"/>
    <n v="0"/>
    <n v="17506.87"/>
    <n v="0"/>
    <n v="0"/>
    <n v="0"/>
    <n v="0"/>
    <n v="0"/>
    <n v="0"/>
  </r>
  <r>
    <x v="46"/>
    <n v="0"/>
    <n v="0"/>
    <x v="0"/>
    <n v="0"/>
    <n v="3124.88"/>
    <n v="0"/>
    <n v="0"/>
    <n v="0"/>
    <n v="3124.88"/>
    <n v="0"/>
    <n v="0"/>
    <n v="0"/>
    <n v="0"/>
    <n v="0"/>
    <n v="0"/>
  </r>
  <r>
    <x v="46"/>
    <n v="0"/>
    <n v="0"/>
    <x v="0"/>
    <n v="0"/>
    <n v="0"/>
    <n v="436792.71"/>
    <n v="0"/>
    <n v="0"/>
    <n v="436792.71"/>
    <n v="0"/>
    <n v="0"/>
    <n v="0"/>
    <n v="0"/>
    <n v="0"/>
    <n v="0"/>
  </r>
  <r>
    <x v="46"/>
    <n v="0"/>
    <n v="0"/>
    <x v="0"/>
    <n v="0"/>
    <n v="0"/>
    <n v="0"/>
    <n v="0"/>
    <n v="0"/>
    <n v="0"/>
    <n v="0"/>
    <n v="0"/>
    <n v="0"/>
    <n v="0"/>
    <n v="0"/>
    <n v="0"/>
  </r>
  <r>
    <x v="46"/>
    <n v="0"/>
    <n v="0"/>
    <x v="0"/>
    <n v="0"/>
    <n v="0"/>
    <n v="0"/>
    <n v="0"/>
    <n v="0"/>
    <n v="0"/>
    <n v="0"/>
    <n v="0"/>
    <n v="0"/>
    <n v="0"/>
    <n v="0"/>
    <n v="0"/>
  </r>
  <r>
    <x v="46"/>
    <n v="0"/>
    <n v="0"/>
    <x v="0"/>
    <n v="0"/>
    <n v="0"/>
    <n v="0"/>
    <n v="0"/>
    <n v="0"/>
    <n v="0"/>
    <n v="0"/>
    <n v="0"/>
    <n v="0"/>
    <n v="0"/>
    <n v="0"/>
    <n v="0"/>
  </r>
  <r>
    <x v="46"/>
    <n v="0"/>
    <n v="0"/>
    <x v="0"/>
    <n v="0"/>
    <n v="0"/>
    <n v="0"/>
    <n v="0"/>
    <n v="0"/>
    <n v="0"/>
    <n v="0"/>
    <n v="22740.78"/>
    <n v="0"/>
    <n v="0"/>
    <n v="0"/>
    <n v="22740.78"/>
  </r>
  <r>
    <x v="46"/>
    <n v="0"/>
    <n v="0"/>
    <x v="0"/>
    <n v="0"/>
    <n v="0"/>
    <n v="0"/>
    <n v="0"/>
    <n v="0"/>
    <n v="0"/>
    <n v="0"/>
    <n v="0"/>
    <n v="96577.5"/>
    <n v="0"/>
    <n v="0"/>
    <n v="96577.5"/>
  </r>
  <r>
    <x v="46"/>
    <n v="0"/>
    <n v="0"/>
    <x v="0"/>
    <n v="0"/>
    <n v="0"/>
    <n v="0"/>
    <n v="0"/>
    <n v="0"/>
    <n v="0"/>
    <n v="0"/>
    <n v="0"/>
    <n v="0"/>
    <n v="0"/>
    <n v="-22054.59"/>
    <n v="-22054.59"/>
  </r>
  <r>
    <x v="47"/>
    <n v="1338570.47"/>
    <n v="0"/>
    <x v="0"/>
    <n v="0"/>
    <n v="0"/>
    <n v="0"/>
    <n v="0"/>
    <n v="0"/>
    <n v="1338570.47"/>
    <n v="0"/>
    <n v="0"/>
    <n v="0"/>
    <n v="0"/>
    <n v="0"/>
    <n v="0"/>
  </r>
  <r>
    <x v="47"/>
    <n v="0"/>
    <n v="38940.730000000003"/>
    <x v="0"/>
    <n v="0"/>
    <n v="0"/>
    <n v="0"/>
    <n v="0"/>
    <n v="0"/>
    <n v="38940.730000000003"/>
    <n v="0"/>
    <n v="0"/>
    <n v="0"/>
    <n v="0"/>
    <n v="0"/>
    <n v="0"/>
  </r>
  <r>
    <x v="47"/>
    <n v="0"/>
    <n v="0"/>
    <x v="48"/>
    <n v="0"/>
    <n v="0"/>
    <n v="0"/>
    <n v="0"/>
    <n v="0"/>
    <n v="264334.90000000002"/>
    <n v="0"/>
    <n v="0"/>
    <n v="0"/>
    <n v="0"/>
    <n v="0"/>
    <n v="0"/>
  </r>
  <r>
    <x v="47"/>
    <n v="0"/>
    <n v="0"/>
    <x v="0"/>
    <n v="65252.56"/>
    <n v="0"/>
    <n v="0"/>
    <n v="0"/>
    <n v="0"/>
    <n v="65252.56"/>
    <n v="0"/>
    <n v="0"/>
    <n v="0"/>
    <n v="0"/>
    <n v="0"/>
    <n v="0"/>
  </r>
  <r>
    <x v="47"/>
    <n v="0"/>
    <n v="0"/>
    <x v="0"/>
    <n v="0"/>
    <n v="112.16"/>
    <n v="0"/>
    <n v="0"/>
    <n v="0"/>
    <n v="112.16"/>
    <n v="0"/>
    <n v="0"/>
    <n v="0"/>
    <n v="0"/>
    <n v="0"/>
    <n v="0"/>
  </r>
  <r>
    <x v="47"/>
    <n v="0"/>
    <n v="0"/>
    <x v="0"/>
    <n v="0"/>
    <n v="0"/>
    <n v="466649.53"/>
    <n v="0"/>
    <n v="0"/>
    <n v="466649.53"/>
    <n v="0"/>
    <n v="0"/>
    <n v="0"/>
    <n v="0"/>
    <n v="0"/>
    <n v="0"/>
  </r>
  <r>
    <x v="47"/>
    <n v="0"/>
    <n v="0"/>
    <x v="49"/>
    <n v="0"/>
    <n v="0"/>
    <n v="0"/>
    <n v="0"/>
    <n v="0"/>
    <n v="0"/>
    <n v="0"/>
    <n v="0"/>
    <n v="0"/>
    <n v="0"/>
    <n v="0"/>
    <n v="0"/>
  </r>
  <r>
    <x v="47"/>
    <n v="0"/>
    <n v="0"/>
    <x v="0"/>
    <n v="0"/>
    <n v="0"/>
    <n v="0"/>
    <n v="0"/>
    <n v="0"/>
    <n v="0"/>
    <n v="0"/>
    <n v="0"/>
    <n v="0"/>
    <n v="0"/>
    <n v="0"/>
    <n v="0"/>
  </r>
  <r>
    <x v="47"/>
    <n v="0"/>
    <n v="0"/>
    <x v="0"/>
    <n v="0"/>
    <n v="0"/>
    <n v="0"/>
    <n v="0"/>
    <n v="0"/>
    <n v="0"/>
    <n v="0"/>
    <n v="0"/>
    <n v="0"/>
    <n v="0"/>
    <n v="0"/>
    <n v="0"/>
  </r>
  <r>
    <x v="47"/>
    <n v="0"/>
    <n v="0"/>
    <x v="0"/>
    <n v="0"/>
    <n v="0"/>
    <n v="0"/>
    <n v="0"/>
    <n v="0"/>
    <n v="0"/>
    <n v="0"/>
    <n v="12243.11"/>
    <n v="0"/>
    <n v="0"/>
    <n v="0"/>
    <n v="12243.11"/>
  </r>
  <r>
    <x v="47"/>
    <n v="0"/>
    <n v="0"/>
    <x v="0"/>
    <n v="0"/>
    <n v="0"/>
    <n v="0"/>
    <n v="0"/>
    <n v="0"/>
    <n v="0"/>
    <n v="0"/>
    <n v="0"/>
    <n v="11016.48"/>
    <n v="0"/>
    <n v="0"/>
    <n v="11016.48"/>
  </r>
  <r>
    <x v="47"/>
    <n v="0"/>
    <n v="0"/>
    <x v="0"/>
    <n v="0"/>
    <n v="0"/>
    <n v="0"/>
    <n v="0"/>
    <n v="0"/>
    <n v="0"/>
    <n v="0"/>
    <n v="0"/>
    <n v="0"/>
    <n v="0"/>
    <n v="-26433.49"/>
    <n v="-26433.49"/>
  </r>
  <r>
    <x v="48"/>
    <n v="3989782.68"/>
    <n v="0"/>
    <x v="0"/>
    <n v="0"/>
    <n v="0"/>
    <n v="0"/>
    <n v="0"/>
    <n v="0"/>
    <n v="3989782.68"/>
    <n v="0"/>
    <n v="0"/>
    <n v="0"/>
    <n v="0"/>
    <n v="0"/>
    <n v="0"/>
  </r>
  <r>
    <x v="48"/>
    <n v="0"/>
    <n v="150020.37"/>
    <x v="0"/>
    <n v="0"/>
    <n v="0"/>
    <n v="0"/>
    <n v="0"/>
    <n v="0"/>
    <n v="150020.37"/>
    <n v="0"/>
    <n v="0"/>
    <n v="0"/>
    <n v="0"/>
    <n v="0"/>
    <n v="0"/>
  </r>
  <r>
    <x v="48"/>
    <n v="0"/>
    <n v="0"/>
    <x v="50"/>
    <n v="0"/>
    <n v="0"/>
    <n v="0"/>
    <n v="0"/>
    <n v="0"/>
    <n v="419777.56"/>
    <n v="0"/>
    <n v="0"/>
    <n v="0"/>
    <n v="0"/>
    <n v="0"/>
    <n v="0"/>
  </r>
  <r>
    <x v="48"/>
    <n v="0"/>
    <n v="0"/>
    <x v="0"/>
    <n v="76608.95"/>
    <n v="0"/>
    <n v="0"/>
    <n v="0"/>
    <n v="0"/>
    <n v="76608.95"/>
    <n v="0"/>
    <n v="0"/>
    <n v="0"/>
    <n v="0"/>
    <n v="0"/>
    <n v="0"/>
  </r>
  <r>
    <x v="48"/>
    <n v="0"/>
    <n v="0"/>
    <x v="0"/>
    <n v="0"/>
    <n v="0"/>
    <n v="0"/>
    <n v="0"/>
    <n v="0"/>
    <n v="0"/>
    <n v="0"/>
    <n v="0"/>
    <n v="0"/>
    <n v="0"/>
    <n v="0"/>
    <n v="0"/>
  </r>
  <r>
    <x v="48"/>
    <n v="0"/>
    <n v="0"/>
    <x v="0"/>
    <n v="0"/>
    <n v="0"/>
    <n v="1184442.5900000001"/>
    <n v="0"/>
    <n v="0"/>
    <n v="1184442.5900000001"/>
    <n v="0"/>
    <n v="0"/>
    <n v="0"/>
    <n v="0"/>
    <n v="0"/>
    <n v="0"/>
  </r>
  <r>
    <x v="48"/>
    <n v="0"/>
    <n v="0"/>
    <x v="0"/>
    <n v="0"/>
    <n v="0"/>
    <n v="0"/>
    <n v="0"/>
    <n v="0"/>
    <n v="0"/>
    <n v="0"/>
    <n v="0"/>
    <n v="0"/>
    <n v="0"/>
    <n v="0"/>
    <n v="0"/>
  </r>
  <r>
    <x v="48"/>
    <n v="0"/>
    <n v="0"/>
    <x v="0"/>
    <n v="0"/>
    <n v="0"/>
    <n v="0"/>
    <n v="0"/>
    <n v="217519.22"/>
    <n v="217519.22"/>
    <n v="0"/>
    <n v="0"/>
    <n v="0"/>
    <n v="0"/>
    <n v="0"/>
    <n v="0"/>
  </r>
  <r>
    <x v="48"/>
    <n v="0"/>
    <n v="0"/>
    <x v="0"/>
    <n v="0"/>
    <n v="0"/>
    <n v="0"/>
    <n v="0"/>
    <n v="0"/>
    <n v="0"/>
    <n v="0"/>
    <n v="0"/>
    <n v="0"/>
    <n v="0"/>
    <n v="0"/>
    <n v="0"/>
  </r>
  <r>
    <x v="48"/>
    <n v="0"/>
    <n v="0"/>
    <x v="0"/>
    <n v="0"/>
    <n v="0"/>
    <n v="0"/>
    <n v="0"/>
    <n v="0"/>
    <n v="0"/>
    <n v="0"/>
    <n v="86470.11"/>
    <n v="0"/>
    <n v="0"/>
    <n v="0"/>
    <n v="86470.11"/>
  </r>
  <r>
    <x v="48"/>
    <n v="0"/>
    <n v="0"/>
    <x v="0"/>
    <n v="0"/>
    <n v="0"/>
    <n v="0"/>
    <n v="0"/>
    <n v="0"/>
    <n v="0"/>
    <n v="0"/>
    <n v="0"/>
    <n v="40401.040000000001"/>
    <n v="0"/>
    <n v="0"/>
    <n v="40401.040000000001"/>
  </r>
  <r>
    <x v="48"/>
    <n v="0"/>
    <n v="0"/>
    <x v="0"/>
    <n v="0"/>
    <n v="0"/>
    <n v="0"/>
    <n v="0"/>
    <n v="0"/>
    <n v="0"/>
    <n v="0"/>
    <n v="0"/>
    <n v="0"/>
    <n v="67742.67"/>
    <n v="0"/>
    <n v="67742.6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29ED7BA-2DD1-4FB4-BF8B-5E7A905F1B2A}" name="PivotTable1"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P53" firstHeaderRow="0" firstDataRow="1" firstDataCol="1"/>
  <pivotFields count="16">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dataField="1" numFmtId="164" showAll="0"/>
    <pivotField dataField="1" numFmtId="164" showAll="0"/>
    <pivotField dataField="1" showAll="0">
      <items count="52">
        <item x="0"/>
        <item x="17"/>
        <item x="7"/>
        <item x="10"/>
        <item x="46"/>
        <item x="47"/>
        <item x="48"/>
        <item x="6"/>
        <item x="8"/>
        <item x="45"/>
        <item x="41"/>
        <item x="15"/>
        <item x="2"/>
        <item x="38"/>
        <item x="50"/>
        <item x="19"/>
        <item x="37"/>
        <item x="30"/>
        <item x="34"/>
        <item x="4"/>
        <item x="11"/>
        <item x="16"/>
        <item x="40"/>
        <item x="33"/>
        <item x="43"/>
        <item x="21"/>
        <item x="32"/>
        <item x="12"/>
        <item x="1"/>
        <item x="27"/>
        <item x="24"/>
        <item x="26"/>
        <item x="18"/>
        <item x="3"/>
        <item x="31"/>
        <item x="39"/>
        <item x="20"/>
        <item x="23"/>
        <item x="13"/>
        <item x="42"/>
        <item x="9"/>
        <item x="36"/>
        <item x="29"/>
        <item x="28"/>
        <item x="22"/>
        <item x="44"/>
        <item x="35"/>
        <item x="14"/>
        <item x="25"/>
        <item x="5"/>
        <item x="49"/>
        <item t="default"/>
      </items>
    </pivotField>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s>
  <rowFields count="1">
    <field x="0"/>
  </rowFields>
  <rowItems count="5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t="grand">
      <x/>
    </i>
  </rowItems>
  <colFields count="1">
    <field x="-2"/>
  </colFields>
  <colItems count="15">
    <i>
      <x/>
    </i>
    <i i="1">
      <x v="1"/>
    </i>
    <i i="2">
      <x v="2"/>
    </i>
    <i i="3">
      <x v="3"/>
    </i>
    <i i="4">
      <x v="4"/>
    </i>
    <i i="5">
      <x v="5"/>
    </i>
    <i i="6">
      <x v="6"/>
    </i>
    <i i="7">
      <x v="7"/>
    </i>
    <i i="8">
      <x v="8"/>
    </i>
    <i i="9">
      <x v="9"/>
    </i>
    <i i="10">
      <x v="10"/>
    </i>
    <i i="11">
      <x v="11"/>
    </i>
    <i i="12">
      <x v="12"/>
    </i>
    <i i="13">
      <x v="13"/>
    </i>
    <i i="14">
      <x v="14"/>
    </i>
  </colItems>
  <dataFields count="15">
    <dataField name="Sum of base_60" fld="1" baseField="0" baseItem="0"/>
    <dataField name="Sum of sws_66" fld="2" baseField="0" baseItem="0"/>
    <dataField name="Sum of spe_47" fld="3" baseField="0" baseItem="0"/>
    <dataField name="Sum of dpia_61" fld="4" baseField="0" baseItem="0"/>
    <dataField name="Sum of el_62" fld="5" baseField="0" baseItem="0"/>
    <dataField name="Sum of cte_48" fld="6" baseField="0" baseItem="0"/>
    <dataField name="Sum of tragur_63" fld="7" baseField="0" baseItem="0"/>
    <dataField name="Sum of tra_sup_64" fld="8" baseField="0" baseItem="0"/>
    <dataField name="Sum of tot_sta" fld="9" baseField="0" baseItem="0"/>
    <dataField name="Sum of esc_6" fld="10" baseField="0" baseItem="0"/>
    <dataField name="Sum of assoc_58" fld="11" baseField="0" baseItem="0"/>
    <dataField name="Sum of caraw_65" fld="12" baseField="0" baseItem="0"/>
    <dataField name="Sum of oth_pos_12" fld="13" baseField="0" baseItem="0"/>
    <dataField name="Sum of oth_neg_12" fld="14" baseField="0" baseItem="0"/>
    <dataField name="Sum of transfer" fld="15" baseField="0" baseItem="0"/>
  </dataFields>
  <formats count="1">
    <format dxfId="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04A3488-F971-4930-8472-291D5E4A0D20}"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S3:AI52" firstHeaderRow="0" firstDataRow="1" firstDataCol="1"/>
  <pivotFields count="18">
    <pivotField numFmtId="1" showAll="0"/>
    <pivotField axis="axisRow" showAll="0">
      <items count="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t="default"/>
      </items>
    </pivotField>
    <pivotField dataField="1" numFmtId="167" showAll="0"/>
    <pivotField dataField="1" numFmtId="167" showAll="0"/>
    <pivotField dataField="1" numFmtId="167" showAll="0"/>
    <pivotField dataField="1" numFmtId="167" showAll="0"/>
    <pivotField dataField="1" numFmtId="167" showAll="0"/>
    <pivotField dataField="1" numFmtId="167" showAll="0"/>
    <pivotField dataField="1" numFmtId="167" showAll="0"/>
    <pivotField dataField="1" numFmtId="167" showAll="0"/>
    <pivotField dataField="1" numFmtId="167" showAll="0"/>
    <pivotField dataField="1" numFmtId="167" showAll="0"/>
    <pivotField dataField="1" numFmtId="167" showAll="0"/>
    <pivotField dataField="1" numFmtId="167" showAll="0"/>
    <pivotField dataField="1" numFmtId="167" showAll="0"/>
    <pivotField dataField="1" numFmtId="167" showAll="0"/>
    <pivotField dataField="1" numFmtId="167" showAll="0"/>
    <pivotField dataField="1" numFmtId="167" showAll="0"/>
  </pivotFields>
  <rowFields count="1">
    <field x="1"/>
  </rowFields>
  <rowItems count="4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t="grand">
      <x/>
    </i>
  </rowItems>
  <colFields count="1">
    <field x="-2"/>
  </colFields>
  <colItems count="16">
    <i>
      <x/>
    </i>
    <i i="1">
      <x v="1"/>
    </i>
    <i i="2">
      <x v="2"/>
    </i>
    <i i="3">
      <x v="3"/>
    </i>
    <i i="4">
      <x v="4"/>
    </i>
    <i i="5">
      <x v="5"/>
    </i>
    <i i="6">
      <x v="6"/>
    </i>
    <i i="7">
      <x v="7"/>
    </i>
    <i i="8">
      <x v="8"/>
    </i>
    <i i="9">
      <x v="9"/>
    </i>
    <i i="10">
      <x v="10"/>
    </i>
    <i i="11">
      <x v="11"/>
    </i>
    <i i="12">
      <x v="12"/>
    </i>
    <i i="13">
      <x v="13"/>
    </i>
    <i i="14">
      <x v="14"/>
    </i>
    <i i="15">
      <x v="15"/>
    </i>
  </colItems>
  <dataFields count="16">
    <dataField name="Sum of total_adjstd_fte" fld="2" baseField="0" baseItem="0"/>
    <dataField name="Sum of econ_disadv_fte" fld="3" baseField="0" baseItem="0"/>
    <dataField name="Sum of el_cat_1_fte" fld="4" baseField="0" baseItem="0"/>
    <dataField name="Sum of el_cat_2_fte" fld="5" baseField="0" baseItem="0"/>
    <dataField name="Sum of el_cat_3_fte" fld="6" baseField="0" baseItem="0"/>
    <dataField name="Sum of speced_cat_1_fte" fld="7" baseField="0" baseItem="0"/>
    <dataField name="Sum of speced_cat_2_fte" fld="8" baseField="0" baseItem="0"/>
    <dataField name="Sum of speced_cat_3_fte" fld="9" baseField="0" baseItem="0"/>
    <dataField name="Sum of speced_cat_4_fte" fld="10" baseField="0" baseItem="0"/>
    <dataField name="Sum of speced_cat_5_fte" fld="11" baseField="0" baseItem="0"/>
    <dataField name="Sum of speced_cat_6_fte" fld="12" baseField="0" baseItem="0"/>
    <dataField name="Sum of cte_fund_cat_1_fte" fld="13" baseField="0" baseItem="0"/>
    <dataField name="Sum of cte_fund_cat_2_fte" fld="14" baseField="0" baseItem="0"/>
    <dataField name="Sum of cte_fund_cat_3_fte" fld="15" baseField="0" baseItem="0"/>
    <dataField name="Sum of cte_fund_cat_4_fte" fld="16" baseField="0" baseItem="0"/>
    <dataField name="Sum of cte_fund_cat_5_fte" fld="17" baseField="0" baseItem="0"/>
  </dataFields>
  <formats count="2">
    <format dxfId="1">
      <pivotArea outline="0" collapsedLevelsAreSubtotals="1" fieldPosition="0"/>
    </format>
    <format dxfId="0">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ivotTable" Target="../pivotTables/pivotTable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1C0F3-91F5-4D1F-925B-CBA5E2653CE9}">
  <dimension ref="A3:P53"/>
  <sheetViews>
    <sheetView workbookViewId="0">
      <selection activeCell="J23" sqref="J23"/>
    </sheetView>
  </sheetViews>
  <sheetFormatPr defaultRowHeight="15" x14ac:dyDescent="0.25"/>
  <cols>
    <col min="1" max="1" width="13.140625" bestFit="1" customWidth="1"/>
    <col min="2" max="2" width="15" bestFit="1" customWidth="1"/>
    <col min="3" max="3" width="14.140625" bestFit="1" customWidth="1"/>
    <col min="4" max="4" width="14" bestFit="1" customWidth="1"/>
    <col min="5" max="5" width="14.7109375" bestFit="1" customWidth="1"/>
    <col min="6" max="6" width="12.42578125" bestFit="1" customWidth="1"/>
    <col min="7" max="7" width="13.85546875" bestFit="1" customWidth="1"/>
    <col min="8" max="8" width="16.140625" bestFit="1" customWidth="1"/>
    <col min="9" max="9" width="17.5703125" bestFit="1" customWidth="1"/>
    <col min="10" max="10" width="14.85546875" bestFit="1" customWidth="1"/>
    <col min="11" max="11" width="12.5703125" bestFit="1" customWidth="1"/>
    <col min="12" max="12" width="15.5703125" bestFit="1" customWidth="1"/>
    <col min="13" max="13" width="16" bestFit="1" customWidth="1"/>
    <col min="14" max="14" width="18.140625" bestFit="1" customWidth="1"/>
    <col min="15" max="15" width="18.28515625" bestFit="1" customWidth="1"/>
    <col min="16" max="16" width="14.85546875" bestFit="1" customWidth="1"/>
  </cols>
  <sheetData>
    <row r="3" spans="1:16" x14ac:dyDescent="0.25">
      <c r="A3" t="s">
        <v>0</v>
      </c>
      <c r="B3" t="s">
        <v>1</v>
      </c>
      <c r="C3" t="s">
        <v>2</v>
      </c>
      <c r="D3" t="s">
        <v>3</v>
      </c>
      <c r="E3" t="s">
        <v>4</v>
      </c>
      <c r="F3" t="s">
        <v>5</v>
      </c>
      <c r="G3" t="s">
        <v>6</v>
      </c>
      <c r="H3" t="s">
        <v>7</v>
      </c>
      <c r="I3" t="s">
        <v>8</v>
      </c>
      <c r="J3" t="s">
        <v>9</v>
      </c>
      <c r="K3" t="s">
        <v>10</v>
      </c>
      <c r="L3" t="s">
        <v>11</v>
      </c>
      <c r="M3" t="s">
        <v>12</v>
      </c>
      <c r="N3" t="s">
        <v>13</v>
      </c>
      <c r="O3" t="s">
        <v>14</v>
      </c>
      <c r="P3" t="s">
        <v>15</v>
      </c>
    </row>
    <row r="4" spans="1:16" x14ac:dyDescent="0.25">
      <c r="A4" s="18">
        <v>50773</v>
      </c>
      <c r="B4">
        <v>4300790.18</v>
      </c>
      <c r="C4">
        <v>178069.29</v>
      </c>
      <c r="D4">
        <v>725490.37</v>
      </c>
      <c r="E4">
        <v>62212.41</v>
      </c>
      <c r="F4">
        <v>215.54</v>
      </c>
      <c r="G4">
        <v>2228403.7200000002</v>
      </c>
      <c r="H4">
        <v>0</v>
      </c>
      <c r="I4">
        <v>0</v>
      </c>
      <c r="J4">
        <v>7495181.5099999998</v>
      </c>
      <c r="K4">
        <v>0</v>
      </c>
      <c r="L4">
        <v>17185.46</v>
      </c>
      <c r="M4">
        <v>36666.51</v>
      </c>
      <c r="N4">
        <v>0</v>
      </c>
      <c r="O4">
        <v>-67689.91</v>
      </c>
      <c r="P4">
        <v>-13837.940000000002</v>
      </c>
    </row>
    <row r="5" spans="1:16" x14ac:dyDescent="0.25">
      <c r="A5" s="18">
        <v>50799</v>
      </c>
      <c r="B5">
        <v>2663509.42</v>
      </c>
      <c r="C5">
        <v>101021.16</v>
      </c>
      <c r="D5">
        <v>407916</v>
      </c>
      <c r="E5">
        <v>48419.48</v>
      </c>
      <c r="F5">
        <v>0</v>
      </c>
      <c r="G5">
        <v>1511912.75</v>
      </c>
      <c r="H5">
        <v>0</v>
      </c>
      <c r="I5">
        <v>0</v>
      </c>
      <c r="J5">
        <v>4732778.8100000005</v>
      </c>
      <c r="K5">
        <v>0</v>
      </c>
      <c r="L5">
        <v>28323.98</v>
      </c>
      <c r="M5">
        <v>17327.52</v>
      </c>
      <c r="N5">
        <v>0</v>
      </c>
      <c r="O5">
        <v>-40791.599999999999</v>
      </c>
      <c r="P5">
        <v>4859.9000000000015</v>
      </c>
    </row>
    <row r="6" spans="1:16" x14ac:dyDescent="0.25">
      <c r="A6" s="18">
        <v>50815</v>
      </c>
      <c r="B6">
        <v>2974034.44</v>
      </c>
      <c r="C6">
        <v>120177.96</v>
      </c>
      <c r="D6">
        <v>865092.26</v>
      </c>
      <c r="E6">
        <v>214553.03</v>
      </c>
      <c r="F6">
        <v>0</v>
      </c>
      <c r="G6">
        <v>1549887.99</v>
      </c>
      <c r="H6">
        <v>0</v>
      </c>
      <c r="I6">
        <v>0</v>
      </c>
      <c r="J6">
        <v>5723745.6799999997</v>
      </c>
      <c r="K6">
        <v>0</v>
      </c>
      <c r="L6">
        <v>20061.580000000002</v>
      </c>
      <c r="M6">
        <v>29562.74</v>
      </c>
      <c r="N6">
        <v>0</v>
      </c>
      <c r="O6">
        <v>-86509.23</v>
      </c>
      <c r="P6">
        <v>-36884.909999999989</v>
      </c>
    </row>
    <row r="7" spans="1:16" x14ac:dyDescent="0.25">
      <c r="A7" s="18">
        <v>50856</v>
      </c>
      <c r="B7">
        <v>2814411.06</v>
      </c>
      <c r="C7">
        <v>100752.76</v>
      </c>
      <c r="D7">
        <v>539151.94999999995</v>
      </c>
      <c r="E7">
        <v>84479.89</v>
      </c>
      <c r="F7">
        <v>89.89</v>
      </c>
      <c r="G7">
        <v>1072405.53</v>
      </c>
      <c r="H7">
        <v>0</v>
      </c>
      <c r="I7">
        <v>52656.63</v>
      </c>
      <c r="J7">
        <v>4663947.71</v>
      </c>
      <c r="K7">
        <v>-174343.49</v>
      </c>
      <c r="L7">
        <v>18910.22</v>
      </c>
      <c r="M7">
        <v>23604.19</v>
      </c>
      <c r="N7">
        <v>0</v>
      </c>
      <c r="O7">
        <v>-53915.19</v>
      </c>
      <c r="P7">
        <v>-185744.27</v>
      </c>
    </row>
    <row r="8" spans="1:16" x14ac:dyDescent="0.25">
      <c r="A8" s="18">
        <v>50880</v>
      </c>
      <c r="B8">
        <v>17574284.460000001</v>
      </c>
      <c r="C8">
        <v>763525.87</v>
      </c>
      <c r="D8">
        <v>2716201.87</v>
      </c>
      <c r="E8">
        <v>152426.72</v>
      </c>
      <c r="F8">
        <v>51899.18</v>
      </c>
      <c r="G8">
        <v>10891597.939999999</v>
      </c>
      <c r="H8">
        <v>0</v>
      </c>
      <c r="I8">
        <v>0</v>
      </c>
      <c r="J8">
        <v>32149936.039999999</v>
      </c>
      <c r="K8">
        <v>0</v>
      </c>
      <c r="L8">
        <v>85813.33</v>
      </c>
      <c r="M8">
        <v>155237.82</v>
      </c>
      <c r="N8">
        <v>0</v>
      </c>
      <c r="O8">
        <v>-271620.19</v>
      </c>
      <c r="P8">
        <v>-30569.039999999979</v>
      </c>
    </row>
    <row r="9" spans="1:16" x14ac:dyDescent="0.25">
      <c r="A9" s="18">
        <v>50906</v>
      </c>
      <c r="B9">
        <v>2673227.6800000002</v>
      </c>
      <c r="C9">
        <v>85977.76</v>
      </c>
      <c r="D9">
        <v>269569.28000000003</v>
      </c>
      <c r="E9">
        <v>45052.82</v>
      </c>
      <c r="F9">
        <v>0</v>
      </c>
      <c r="G9">
        <v>792153.15</v>
      </c>
      <c r="H9">
        <v>0</v>
      </c>
      <c r="I9">
        <v>189323.19</v>
      </c>
      <c r="J9">
        <v>4055303.8799999994</v>
      </c>
      <c r="K9">
        <v>0</v>
      </c>
      <c r="L9">
        <v>31340.720000000001</v>
      </c>
      <c r="M9">
        <v>21442.32</v>
      </c>
      <c r="N9">
        <v>0</v>
      </c>
      <c r="O9">
        <v>-26956.93</v>
      </c>
      <c r="P9">
        <v>25826.11</v>
      </c>
    </row>
    <row r="10" spans="1:16" x14ac:dyDescent="0.25">
      <c r="A10" s="18">
        <v>50922</v>
      </c>
      <c r="B10">
        <v>1356728.8</v>
      </c>
      <c r="C10">
        <v>47371.83</v>
      </c>
      <c r="D10">
        <v>60917.62</v>
      </c>
      <c r="E10">
        <v>17815.18</v>
      </c>
      <c r="F10">
        <v>23.67</v>
      </c>
      <c r="G10">
        <v>140903.59</v>
      </c>
      <c r="H10">
        <v>40387.839999999997</v>
      </c>
      <c r="I10">
        <v>62950.68</v>
      </c>
      <c r="J10">
        <v>1727099.2100000002</v>
      </c>
      <c r="K10">
        <v>0</v>
      </c>
      <c r="L10">
        <v>40202.17</v>
      </c>
      <c r="M10">
        <v>55108.07</v>
      </c>
      <c r="N10">
        <v>0</v>
      </c>
      <c r="O10">
        <v>-6091.76</v>
      </c>
      <c r="P10">
        <v>89218.48</v>
      </c>
    </row>
    <row r="11" spans="1:16" x14ac:dyDescent="0.25">
      <c r="A11" s="18">
        <v>50948</v>
      </c>
      <c r="B11">
        <v>1575660.16</v>
      </c>
      <c r="C11">
        <v>60542.49</v>
      </c>
      <c r="D11">
        <v>316879</v>
      </c>
      <c r="E11">
        <v>1337.48</v>
      </c>
      <c r="F11">
        <v>0</v>
      </c>
      <c r="G11">
        <v>1177522.33</v>
      </c>
      <c r="H11">
        <v>0</v>
      </c>
      <c r="I11">
        <v>0</v>
      </c>
      <c r="J11">
        <v>3131941.46</v>
      </c>
      <c r="K11">
        <v>0</v>
      </c>
      <c r="L11">
        <v>4767.96</v>
      </c>
      <c r="M11">
        <v>49474.13</v>
      </c>
      <c r="N11">
        <v>0</v>
      </c>
      <c r="O11">
        <v>-31687.9</v>
      </c>
      <c r="P11">
        <v>22554.189999999995</v>
      </c>
    </row>
    <row r="12" spans="1:16" x14ac:dyDescent="0.25">
      <c r="A12" s="18">
        <v>50963</v>
      </c>
      <c r="B12">
        <v>4180052.77</v>
      </c>
      <c r="C12">
        <v>177050.95</v>
      </c>
      <c r="D12">
        <v>1221395.06</v>
      </c>
      <c r="E12">
        <v>84583.22</v>
      </c>
      <c r="F12">
        <v>850.97</v>
      </c>
      <c r="G12">
        <v>2114331.7000000002</v>
      </c>
      <c r="H12">
        <v>0</v>
      </c>
      <c r="I12">
        <v>0</v>
      </c>
      <c r="J12">
        <v>7778264.669999999</v>
      </c>
      <c r="K12">
        <v>0</v>
      </c>
      <c r="L12">
        <v>54324.3</v>
      </c>
      <c r="M12">
        <v>51824.25</v>
      </c>
      <c r="N12">
        <v>0</v>
      </c>
      <c r="O12">
        <v>-122139.51</v>
      </c>
      <c r="P12">
        <v>-15990.959999999992</v>
      </c>
    </row>
    <row r="13" spans="1:16" x14ac:dyDescent="0.25">
      <c r="A13" s="18">
        <v>50989</v>
      </c>
      <c r="B13">
        <v>2793568.78</v>
      </c>
      <c r="C13">
        <v>111734.18</v>
      </c>
      <c r="D13">
        <v>147554.26</v>
      </c>
      <c r="E13">
        <v>5806.77</v>
      </c>
      <c r="F13">
        <v>947.15</v>
      </c>
      <c r="G13">
        <v>730364.91</v>
      </c>
      <c r="H13">
        <v>0</v>
      </c>
      <c r="I13">
        <v>48490.19</v>
      </c>
      <c r="J13">
        <v>3838466.2399999998</v>
      </c>
      <c r="K13">
        <v>0</v>
      </c>
      <c r="L13">
        <v>23512.58</v>
      </c>
      <c r="M13">
        <v>105429.65</v>
      </c>
      <c r="N13">
        <v>1507285.15</v>
      </c>
      <c r="O13">
        <v>0</v>
      </c>
      <c r="P13">
        <v>1636227.38</v>
      </c>
    </row>
    <row r="14" spans="1:16" x14ac:dyDescent="0.25">
      <c r="A14" s="18">
        <v>51003</v>
      </c>
      <c r="B14">
        <v>4113958.34</v>
      </c>
      <c r="C14">
        <v>179461.84</v>
      </c>
      <c r="D14">
        <v>543053.16</v>
      </c>
      <c r="E14">
        <v>3009.49</v>
      </c>
      <c r="F14">
        <v>15343.37</v>
      </c>
      <c r="G14">
        <v>1434830.3</v>
      </c>
      <c r="H14">
        <v>0</v>
      </c>
      <c r="I14">
        <v>0</v>
      </c>
      <c r="J14">
        <v>6289656.5</v>
      </c>
      <c r="K14">
        <v>0</v>
      </c>
      <c r="L14">
        <v>128447.74</v>
      </c>
      <c r="M14">
        <v>151518.65</v>
      </c>
      <c r="N14">
        <v>47314.33</v>
      </c>
      <c r="O14">
        <v>0</v>
      </c>
      <c r="P14">
        <v>327280.72000000003</v>
      </c>
    </row>
    <row r="15" spans="1:16" x14ac:dyDescent="0.25">
      <c r="A15" s="18">
        <v>51029</v>
      </c>
      <c r="B15">
        <v>3374706.66</v>
      </c>
      <c r="C15">
        <v>138094.76999999999</v>
      </c>
      <c r="D15">
        <v>724372.23</v>
      </c>
      <c r="E15">
        <v>76928.539999999994</v>
      </c>
      <c r="F15">
        <v>1077.46</v>
      </c>
      <c r="G15">
        <v>1686862.19</v>
      </c>
      <c r="H15">
        <v>0</v>
      </c>
      <c r="I15">
        <v>0</v>
      </c>
      <c r="J15">
        <v>6002041.8499999996</v>
      </c>
      <c r="K15">
        <v>0</v>
      </c>
      <c r="L15">
        <v>151579.85</v>
      </c>
      <c r="M15">
        <v>37716.61</v>
      </c>
      <c r="N15">
        <v>0</v>
      </c>
      <c r="O15">
        <v>-72437.22</v>
      </c>
      <c r="P15">
        <v>116859.24000000002</v>
      </c>
    </row>
    <row r="16" spans="1:16" x14ac:dyDescent="0.25">
      <c r="A16" s="18">
        <v>51045</v>
      </c>
      <c r="B16">
        <v>3077756.52</v>
      </c>
      <c r="C16">
        <v>130469.7</v>
      </c>
      <c r="D16">
        <v>1139800.95</v>
      </c>
      <c r="E16">
        <v>31630.39</v>
      </c>
      <c r="F16">
        <v>1384.28</v>
      </c>
      <c r="G16">
        <v>1941724.71</v>
      </c>
      <c r="H16">
        <v>0</v>
      </c>
      <c r="I16">
        <v>0</v>
      </c>
      <c r="J16">
        <v>6322766.5499999998</v>
      </c>
      <c r="K16">
        <v>0</v>
      </c>
      <c r="L16">
        <v>16810</v>
      </c>
      <c r="M16">
        <v>51179.02</v>
      </c>
      <c r="N16">
        <v>0</v>
      </c>
      <c r="O16">
        <v>-88845.73</v>
      </c>
      <c r="P16">
        <v>-20856.710000000006</v>
      </c>
    </row>
    <row r="17" spans="1:16" x14ac:dyDescent="0.25">
      <c r="A17" s="18">
        <v>51060</v>
      </c>
      <c r="B17">
        <v>11440492.66</v>
      </c>
      <c r="C17">
        <v>495139.48</v>
      </c>
      <c r="D17">
        <v>2318377.48</v>
      </c>
      <c r="E17">
        <v>257397.67</v>
      </c>
      <c r="F17">
        <v>14951.19</v>
      </c>
      <c r="G17">
        <v>7396537.6399999997</v>
      </c>
      <c r="H17">
        <v>0</v>
      </c>
      <c r="I17">
        <v>0</v>
      </c>
      <c r="J17">
        <v>21922896.120000001</v>
      </c>
      <c r="K17">
        <v>0</v>
      </c>
      <c r="L17">
        <v>21744.69</v>
      </c>
      <c r="M17">
        <v>255600.88</v>
      </c>
      <c r="N17">
        <v>0</v>
      </c>
      <c r="O17">
        <v>-231837.75</v>
      </c>
      <c r="P17">
        <v>45507.820000000007</v>
      </c>
    </row>
    <row r="18" spans="1:16" x14ac:dyDescent="0.25">
      <c r="A18" s="18">
        <v>51128</v>
      </c>
      <c r="B18">
        <v>1741989.67</v>
      </c>
      <c r="C18">
        <v>57649.69</v>
      </c>
      <c r="D18">
        <v>376243.11</v>
      </c>
      <c r="E18">
        <v>107731.42</v>
      </c>
      <c r="F18">
        <v>0</v>
      </c>
      <c r="G18">
        <v>680420.15</v>
      </c>
      <c r="H18">
        <v>0</v>
      </c>
      <c r="I18">
        <v>0</v>
      </c>
      <c r="J18">
        <v>2964034.0399999996</v>
      </c>
      <c r="K18">
        <v>0</v>
      </c>
      <c r="L18">
        <v>45169.19</v>
      </c>
      <c r="M18">
        <v>18983.55</v>
      </c>
      <c r="N18">
        <v>0</v>
      </c>
      <c r="O18">
        <v>-37624.31</v>
      </c>
      <c r="P18">
        <v>26528.430000000008</v>
      </c>
    </row>
    <row r="19" spans="1:16" x14ac:dyDescent="0.25">
      <c r="A19" s="18">
        <v>51144</v>
      </c>
      <c r="B19">
        <v>3264128.88</v>
      </c>
      <c r="C19">
        <v>125392.52</v>
      </c>
      <c r="D19">
        <v>612263.35</v>
      </c>
      <c r="E19">
        <v>79569.03</v>
      </c>
      <c r="F19">
        <v>647.65</v>
      </c>
      <c r="G19">
        <v>1292997.75</v>
      </c>
      <c r="H19">
        <v>0</v>
      </c>
      <c r="I19">
        <v>0</v>
      </c>
      <c r="J19">
        <v>5374999.1799999997</v>
      </c>
      <c r="K19">
        <v>0</v>
      </c>
      <c r="L19">
        <v>17411.66</v>
      </c>
      <c r="M19">
        <v>21913.15</v>
      </c>
      <c r="N19">
        <v>0</v>
      </c>
      <c r="O19">
        <v>-61226.33</v>
      </c>
      <c r="P19">
        <v>-21901.520000000004</v>
      </c>
    </row>
    <row r="20" spans="1:16" x14ac:dyDescent="0.25">
      <c r="A20" s="18">
        <v>51169</v>
      </c>
      <c r="B20">
        <v>1611802.23</v>
      </c>
      <c r="C20">
        <v>53089.68</v>
      </c>
      <c r="D20">
        <v>37746.69</v>
      </c>
      <c r="E20">
        <v>10882.32</v>
      </c>
      <c r="F20">
        <v>0</v>
      </c>
      <c r="G20">
        <v>216001</v>
      </c>
      <c r="H20">
        <v>0</v>
      </c>
      <c r="I20">
        <v>17519.990000000002</v>
      </c>
      <c r="J20">
        <v>1947041.91</v>
      </c>
      <c r="K20">
        <v>0</v>
      </c>
      <c r="L20">
        <v>10896.44</v>
      </c>
      <c r="M20">
        <v>49320.58</v>
      </c>
      <c r="N20">
        <v>86168.54</v>
      </c>
      <c r="O20">
        <v>0</v>
      </c>
      <c r="P20">
        <v>146385.56</v>
      </c>
    </row>
    <row r="21" spans="1:16" x14ac:dyDescent="0.25">
      <c r="A21" s="18">
        <v>51185</v>
      </c>
      <c r="B21">
        <v>2950031.59</v>
      </c>
      <c r="C21">
        <v>114405.77</v>
      </c>
      <c r="D21">
        <v>773771.45</v>
      </c>
      <c r="E21">
        <v>851748.02</v>
      </c>
      <c r="F21">
        <v>0</v>
      </c>
      <c r="G21">
        <v>1685165.22</v>
      </c>
      <c r="H21">
        <v>0</v>
      </c>
      <c r="I21">
        <v>0</v>
      </c>
      <c r="J21">
        <v>6375122.0499999998</v>
      </c>
      <c r="K21">
        <v>0</v>
      </c>
      <c r="L21">
        <v>7501.78</v>
      </c>
      <c r="M21">
        <v>20667.22</v>
      </c>
      <c r="N21">
        <v>0</v>
      </c>
      <c r="O21">
        <v>-77377.149999999994</v>
      </c>
      <c r="P21">
        <v>-49208.149999999994</v>
      </c>
    </row>
    <row r="22" spans="1:16" x14ac:dyDescent="0.25">
      <c r="A22" s="18">
        <v>51201</v>
      </c>
      <c r="B22">
        <v>3468608.15</v>
      </c>
      <c r="C22">
        <v>147360.97</v>
      </c>
      <c r="D22">
        <v>428698.44</v>
      </c>
      <c r="E22">
        <v>26442.99</v>
      </c>
      <c r="F22">
        <v>950.88</v>
      </c>
      <c r="G22">
        <v>1387265.76</v>
      </c>
      <c r="H22">
        <v>0</v>
      </c>
      <c r="I22">
        <v>0</v>
      </c>
      <c r="J22">
        <v>5459327.1900000004</v>
      </c>
      <c r="K22">
        <v>0</v>
      </c>
      <c r="L22">
        <v>33509</v>
      </c>
      <c r="M22">
        <v>68384.59</v>
      </c>
      <c r="N22">
        <v>0</v>
      </c>
      <c r="O22">
        <v>-42869.84</v>
      </c>
      <c r="P22">
        <v>59023.75</v>
      </c>
    </row>
    <row r="23" spans="1:16" x14ac:dyDescent="0.25">
      <c r="A23" s="18">
        <v>51227</v>
      </c>
      <c r="B23">
        <v>4727596.07</v>
      </c>
      <c r="C23">
        <v>200369.07</v>
      </c>
      <c r="D23">
        <v>950900.65</v>
      </c>
      <c r="E23">
        <v>68422.75</v>
      </c>
      <c r="F23">
        <v>1336.01</v>
      </c>
      <c r="G23">
        <v>1519448.05</v>
      </c>
      <c r="H23">
        <v>0</v>
      </c>
      <c r="I23">
        <v>0</v>
      </c>
      <c r="J23">
        <v>7468072.6000000006</v>
      </c>
      <c r="K23">
        <v>0</v>
      </c>
      <c r="L23">
        <v>53187.31</v>
      </c>
      <c r="M23">
        <v>82165.05</v>
      </c>
      <c r="N23">
        <v>0</v>
      </c>
      <c r="O23">
        <v>-95090.07</v>
      </c>
      <c r="P23">
        <v>40262.289999999979</v>
      </c>
    </row>
    <row r="24" spans="1:16" x14ac:dyDescent="0.25">
      <c r="A24" s="18">
        <v>51243</v>
      </c>
      <c r="B24">
        <v>2535889.71</v>
      </c>
      <c r="C24">
        <v>102092.28</v>
      </c>
      <c r="D24">
        <v>696209.58</v>
      </c>
      <c r="E24">
        <v>142577.44</v>
      </c>
      <c r="F24">
        <v>959.82</v>
      </c>
      <c r="G24">
        <v>1552325.6</v>
      </c>
      <c r="H24">
        <v>0</v>
      </c>
      <c r="I24">
        <v>0</v>
      </c>
      <c r="J24">
        <v>5030054.43</v>
      </c>
      <c r="K24">
        <v>0</v>
      </c>
      <c r="L24">
        <v>32932.01</v>
      </c>
      <c r="M24">
        <v>52487.24</v>
      </c>
      <c r="N24">
        <v>0</v>
      </c>
      <c r="O24">
        <v>-69620.960000000006</v>
      </c>
      <c r="P24">
        <v>15798.289999999994</v>
      </c>
    </row>
    <row r="25" spans="1:16" x14ac:dyDescent="0.25">
      <c r="A25" s="18">
        <v>51284</v>
      </c>
      <c r="B25">
        <v>9368300.5299999993</v>
      </c>
      <c r="C25">
        <v>405045.05</v>
      </c>
      <c r="D25">
        <v>1338096.1200000001</v>
      </c>
      <c r="E25">
        <v>73061.25</v>
      </c>
      <c r="F25">
        <v>1235.01</v>
      </c>
      <c r="G25">
        <v>5107613.38</v>
      </c>
      <c r="H25">
        <v>0</v>
      </c>
      <c r="I25">
        <v>0</v>
      </c>
      <c r="J25">
        <v>16293351.34</v>
      </c>
      <c r="K25">
        <v>0</v>
      </c>
      <c r="L25">
        <v>66943.759999999995</v>
      </c>
      <c r="M25">
        <v>120420.5</v>
      </c>
      <c r="N25">
        <v>0</v>
      </c>
      <c r="O25">
        <v>-133809.60999999999</v>
      </c>
      <c r="P25">
        <v>53554.650000000023</v>
      </c>
    </row>
    <row r="26" spans="1:16" x14ac:dyDescent="0.25">
      <c r="A26" s="18">
        <v>51300</v>
      </c>
      <c r="B26">
        <v>4784154.7</v>
      </c>
      <c r="C26">
        <v>204245.57</v>
      </c>
      <c r="D26">
        <v>1076005.99</v>
      </c>
      <c r="E26">
        <v>176998.95</v>
      </c>
      <c r="F26">
        <v>0</v>
      </c>
      <c r="G26">
        <v>2469791.33</v>
      </c>
      <c r="H26">
        <v>0</v>
      </c>
      <c r="I26">
        <v>1871.99</v>
      </c>
      <c r="J26">
        <v>8713068.5300000012</v>
      </c>
      <c r="K26">
        <v>0</v>
      </c>
      <c r="L26">
        <v>45562.74</v>
      </c>
      <c r="M26">
        <v>56312.6</v>
      </c>
      <c r="N26">
        <v>0</v>
      </c>
      <c r="O26">
        <v>-84465.26</v>
      </c>
      <c r="P26">
        <v>17410.080000000002</v>
      </c>
    </row>
    <row r="27" spans="1:16" x14ac:dyDescent="0.25">
      <c r="A27" s="18">
        <v>51334</v>
      </c>
      <c r="B27">
        <v>3876674.7</v>
      </c>
      <c r="C27">
        <v>164289.45000000001</v>
      </c>
      <c r="D27">
        <v>740297.87</v>
      </c>
      <c r="E27">
        <v>14984.97</v>
      </c>
      <c r="F27">
        <v>227.77</v>
      </c>
      <c r="G27">
        <v>2323053.2799999998</v>
      </c>
      <c r="H27">
        <v>0</v>
      </c>
      <c r="I27">
        <v>0</v>
      </c>
      <c r="J27">
        <v>7119528.0399999991</v>
      </c>
      <c r="K27">
        <v>0</v>
      </c>
      <c r="L27">
        <v>37700.68</v>
      </c>
      <c r="M27">
        <v>49587.17</v>
      </c>
      <c r="N27">
        <v>0</v>
      </c>
      <c r="O27">
        <v>-74029.789999999994</v>
      </c>
      <c r="P27">
        <v>13258.060000000012</v>
      </c>
    </row>
    <row r="28" spans="1:16" x14ac:dyDescent="0.25">
      <c r="A28" s="18">
        <v>51359</v>
      </c>
      <c r="B28">
        <v>9771048.3699999992</v>
      </c>
      <c r="C28">
        <v>417914.63</v>
      </c>
      <c r="D28">
        <v>2393010.58</v>
      </c>
      <c r="E28">
        <v>160937.63</v>
      </c>
      <c r="F28">
        <v>518.72</v>
      </c>
      <c r="G28">
        <v>4783444.2</v>
      </c>
      <c r="H28">
        <v>0</v>
      </c>
      <c r="I28">
        <v>0</v>
      </c>
      <c r="J28">
        <v>17526874.130000003</v>
      </c>
      <c r="K28">
        <v>0</v>
      </c>
      <c r="L28">
        <v>103885.55</v>
      </c>
      <c r="M28">
        <v>115632.79</v>
      </c>
      <c r="N28">
        <v>0</v>
      </c>
      <c r="O28">
        <v>-239301.06</v>
      </c>
      <c r="P28">
        <v>-19782.72</v>
      </c>
    </row>
    <row r="29" spans="1:16" x14ac:dyDescent="0.25">
      <c r="A29" s="18">
        <v>51375</v>
      </c>
      <c r="B29">
        <v>2604304.7599999998</v>
      </c>
      <c r="C29">
        <v>93523.18</v>
      </c>
      <c r="D29">
        <v>761761.24</v>
      </c>
      <c r="E29">
        <v>233169.57</v>
      </c>
      <c r="F29">
        <v>0</v>
      </c>
      <c r="G29">
        <v>1189195.3600000001</v>
      </c>
      <c r="H29">
        <v>0</v>
      </c>
      <c r="I29">
        <v>0</v>
      </c>
      <c r="J29">
        <v>4881954.1099999994</v>
      </c>
      <c r="K29">
        <v>0</v>
      </c>
      <c r="L29">
        <v>3983.54</v>
      </c>
      <c r="M29">
        <v>10784.23</v>
      </c>
      <c r="N29">
        <v>0</v>
      </c>
      <c r="O29">
        <v>-76176.12</v>
      </c>
      <c r="P29">
        <v>-61408.349999999991</v>
      </c>
    </row>
    <row r="30" spans="1:16" x14ac:dyDescent="0.25">
      <c r="A30" s="18">
        <v>51391</v>
      </c>
      <c r="B30">
        <v>2870362.66</v>
      </c>
      <c r="C30">
        <v>115771.79</v>
      </c>
      <c r="D30">
        <v>734160.96</v>
      </c>
      <c r="E30">
        <v>98817.53</v>
      </c>
      <c r="F30">
        <v>0</v>
      </c>
      <c r="G30">
        <v>1303518.07</v>
      </c>
      <c r="H30">
        <v>0</v>
      </c>
      <c r="I30">
        <v>0</v>
      </c>
      <c r="J30">
        <v>5122631.01</v>
      </c>
      <c r="K30">
        <v>0</v>
      </c>
      <c r="L30">
        <v>68211.33</v>
      </c>
      <c r="M30">
        <v>34417.99</v>
      </c>
      <c r="N30">
        <v>0</v>
      </c>
      <c r="O30">
        <v>-73416.100000000006</v>
      </c>
      <c r="P30">
        <v>29213.22</v>
      </c>
    </row>
    <row r="31" spans="1:16" x14ac:dyDescent="0.25">
      <c r="A31" s="18">
        <v>51417</v>
      </c>
      <c r="B31">
        <v>6777375.6699999999</v>
      </c>
      <c r="C31">
        <v>289866.34999999998</v>
      </c>
      <c r="D31">
        <v>1322909.22</v>
      </c>
      <c r="E31">
        <v>177660.52</v>
      </c>
      <c r="F31">
        <v>4646.74</v>
      </c>
      <c r="G31">
        <v>3651413.91</v>
      </c>
      <c r="H31">
        <v>0</v>
      </c>
      <c r="I31">
        <v>0</v>
      </c>
      <c r="J31">
        <v>12223872.41</v>
      </c>
      <c r="K31">
        <v>0</v>
      </c>
      <c r="L31">
        <v>30307.54</v>
      </c>
      <c r="M31">
        <v>39324.14</v>
      </c>
      <c r="N31">
        <v>0</v>
      </c>
      <c r="O31">
        <v>-122407.21</v>
      </c>
      <c r="P31">
        <v>-52775.530000000013</v>
      </c>
    </row>
    <row r="32" spans="1:16" x14ac:dyDescent="0.25">
      <c r="A32" s="18">
        <v>51433</v>
      </c>
      <c r="B32">
        <v>5730644.29</v>
      </c>
      <c r="C32">
        <v>243771.17</v>
      </c>
      <c r="D32">
        <v>1306056.27</v>
      </c>
      <c r="E32">
        <v>326695.25</v>
      </c>
      <c r="F32">
        <v>332.11</v>
      </c>
      <c r="G32">
        <v>3132208.31</v>
      </c>
      <c r="H32">
        <v>0</v>
      </c>
      <c r="I32">
        <v>0</v>
      </c>
      <c r="J32">
        <v>10739707.4</v>
      </c>
      <c r="K32">
        <v>0</v>
      </c>
      <c r="L32">
        <v>15339.07</v>
      </c>
      <c r="M32">
        <v>36400.57</v>
      </c>
      <c r="N32">
        <v>0</v>
      </c>
      <c r="O32">
        <v>-113223.53</v>
      </c>
      <c r="P32">
        <v>-61483.89</v>
      </c>
    </row>
    <row r="33" spans="1:16" x14ac:dyDescent="0.25">
      <c r="A33" s="18">
        <v>51458</v>
      </c>
      <c r="B33">
        <v>5335964.0199999996</v>
      </c>
      <c r="C33">
        <v>210869.51</v>
      </c>
      <c r="D33">
        <v>507458.54</v>
      </c>
      <c r="E33">
        <v>89839.07</v>
      </c>
      <c r="F33">
        <v>432.66</v>
      </c>
      <c r="G33">
        <v>2021551.47</v>
      </c>
      <c r="H33">
        <v>76619.33</v>
      </c>
      <c r="I33">
        <v>247653.62</v>
      </c>
      <c r="J33">
        <v>8490388.2199999988</v>
      </c>
      <c r="K33">
        <v>0</v>
      </c>
      <c r="L33">
        <v>13843.34</v>
      </c>
      <c r="M33">
        <v>44163.64</v>
      </c>
      <c r="N33">
        <v>0</v>
      </c>
      <c r="O33">
        <v>-50745.85</v>
      </c>
      <c r="P33">
        <v>7261.1299999999974</v>
      </c>
    </row>
    <row r="34" spans="1:16" x14ac:dyDescent="0.25">
      <c r="A34" s="18">
        <v>51474</v>
      </c>
      <c r="B34">
        <v>4228538.78</v>
      </c>
      <c r="C34">
        <v>180328.7</v>
      </c>
      <c r="D34">
        <v>924211.95</v>
      </c>
      <c r="E34">
        <v>10889.05</v>
      </c>
      <c r="F34">
        <v>3028.78</v>
      </c>
      <c r="G34">
        <v>2586431.0699999998</v>
      </c>
      <c r="H34">
        <v>0</v>
      </c>
      <c r="I34">
        <v>0</v>
      </c>
      <c r="J34">
        <v>7933428.3300000001</v>
      </c>
      <c r="K34">
        <v>0</v>
      </c>
      <c r="L34">
        <v>5995.62</v>
      </c>
      <c r="M34">
        <v>60228.19</v>
      </c>
      <c r="N34">
        <v>0</v>
      </c>
      <c r="O34">
        <v>-92343.83</v>
      </c>
      <c r="P34">
        <v>-26120.020000000004</v>
      </c>
    </row>
    <row r="35" spans="1:16" x14ac:dyDescent="0.25">
      <c r="A35" s="18">
        <v>51490</v>
      </c>
      <c r="B35">
        <v>2879581.16</v>
      </c>
      <c r="C35">
        <v>123887.54</v>
      </c>
      <c r="D35">
        <v>702491.19</v>
      </c>
      <c r="E35">
        <v>516308.63</v>
      </c>
      <c r="F35">
        <v>0</v>
      </c>
      <c r="G35">
        <v>1386892.78</v>
      </c>
      <c r="H35">
        <v>0</v>
      </c>
      <c r="I35">
        <v>4519.6400000000003</v>
      </c>
      <c r="J35">
        <v>5613680.9400000004</v>
      </c>
      <c r="K35">
        <v>0</v>
      </c>
      <c r="L35">
        <v>4024.51</v>
      </c>
      <c r="M35">
        <v>25554.73</v>
      </c>
      <c r="N35">
        <v>0</v>
      </c>
      <c r="O35">
        <v>-53214.18</v>
      </c>
      <c r="P35">
        <v>-23634.940000000002</v>
      </c>
    </row>
    <row r="36" spans="1:16" x14ac:dyDescent="0.25">
      <c r="A36" s="18">
        <v>51532</v>
      </c>
      <c r="B36">
        <v>3534368.88</v>
      </c>
      <c r="C36">
        <v>142818.60999999999</v>
      </c>
      <c r="D36">
        <v>683969.06</v>
      </c>
      <c r="E36">
        <v>120749.32</v>
      </c>
      <c r="F36">
        <v>9164.8700000000008</v>
      </c>
      <c r="G36">
        <v>1655859.52</v>
      </c>
      <c r="H36">
        <v>0</v>
      </c>
      <c r="I36">
        <v>0</v>
      </c>
      <c r="J36">
        <v>6146930.2599999998</v>
      </c>
      <c r="K36">
        <v>0</v>
      </c>
      <c r="L36">
        <v>141102.26999999999</v>
      </c>
      <c r="M36">
        <v>47346.89</v>
      </c>
      <c r="N36">
        <v>0</v>
      </c>
      <c r="O36">
        <v>-68396.91</v>
      </c>
      <c r="P36">
        <v>120052.24999999997</v>
      </c>
    </row>
    <row r="37" spans="1:16" x14ac:dyDescent="0.25">
      <c r="A37" s="18">
        <v>51607</v>
      </c>
      <c r="B37">
        <v>2198150.5099999998</v>
      </c>
      <c r="C37">
        <v>81475.69</v>
      </c>
      <c r="D37">
        <v>515478.67</v>
      </c>
      <c r="E37">
        <v>207496.41</v>
      </c>
      <c r="F37">
        <v>0</v>
      </c>
      <c r="G37">
        <v>1165195.6000000001</v>
      </c>
      <c r="H37">
        <v>0</v>
      </c>
      <c r="I37">
        <v>0</v>
      </c>
      <c r="J37">
        <v>4167796.88</v>
      </c>
      <c r="K37">
        <v>0</v>
      </c>
      <c r="L37">
        <v>51338.9</v>
      </c>
      <c r="M37">
        <v>29858.720000000001</v>
      </c>
      <c r="N37">
        <v>0</v>
      </c>
      <c r="O37">
        <v>-51547.87</v>
      </c>
      <c r="P37">
        <v>29649.749999999993</v>
      </c>
    </row>
    <row r="38" spans="1:16" x14ac:dyDescent="0.25">
      <c r="A38" s="18">
        <v>51631</v>
      </c>
      <c r="B38">
        <v>4144805.76</v>
      </c>
      <c r="C38">
        <v>173076.4</v>
      </c>
      <c r="D38">
        <v>1516651.08</v>
      </c>
      <c r="E38">
        <v>199034.47</v>
      </c>
      <c r="F38">
        <v>195.68</v>
      </c>
      <c r="G38">
        <v>2038073.87</v>
      </c>
      <c r="H38">
        <v>0</v>
      </c>
      <c r="I38">
        <v>0</v>
      </c>
      <c r="J38">
        <v>8071837.2599999998</v>
      </c>
      <c r="K38">
        <v>0</v>
      </c>
      <c r="L38">
        <v>61677.25</v>
      </c>
      <c r="M38">
        <v>62716.39</v>
      </c>
      <c r="N38">
        <v>0</v>
      </c>
      <c r="O38">
        <v>-133507.01</v>
      </c>
      <c r="P38">
        <v>-9113.3700000000099</v>
      </c>
    </row>
    <row r="39" spans="1:16" x14ac:dyDescent="0.25">
      <c r="A39" s="18">
        <v>51656</v>
      </c>
      <c r="B39">
        <v>4058695.06</v>
      </c>
      <c r="C39">
        <v>174178.96</v>
      </c>
      <c r="D39">
        <v>1231703.67</v>
      </c>
      <c r="E39">
        <v>86819.22</v>
      </c>
      <c r="F39">
        <v>15894.87</v>
      </c>
      <c r="G39">
        <v>1979844.89</v>
      </c>
      <c r="H39">
        <v>0</v>
      </c>
      <c r="I39">
        <v>14427.01</v>
      </c>
      <c r="J39">
        <v>7561563.6799999997</v>
      </c>
      <c r="K39">
        <v>-159995</v>
      </c>
      <c r="L39">
        <v>18553.650000000001</v>
      </c>
      <c r="M39">
        <v>41472.44</v>
      </c>
      <c r="N39">
        <v>0</v>
      </c>
      <c r="O39">
        <v>-123170.37</v>
      </c>
      <c r="P39">
        <v>-223139.28</v>
      </c>
    </row>
    <row r="40" spans="1:16" x14ac:dyDescent="0.25">
      <c r="A40" s="18">
        <v>51672</v>
      </c>
      <c r="B40">
        <v>2527731.7799999998</v>
      </c>
      <c r="C40">
        <v>91830.63</v>
      </c>
      <c r="D40">
        <v>502604.26</v>
      </c>
      <c r="E40">
        <v>22152.21</v>
      </c>
      <c r="F40">
        <v>0</v>
      </c>
      <c r="G40">
        <v>1018897.77</v>
      </c>
      <c r="H40">
        <v>0</v>
      </c>
      <c r="I40">
        <v>0</v>
      </c>
      <c r="J40">
        <v>4163216.65</v>
      </c>
      <c r="K40">
        <v>0</v>
      </c>
      <c r="L40">
        <v>27849.24</v>
      </c>
      <c r="M40">
        <v>24554.68</v>
      </c>
      <c r="N40">
        <v>0</v>
      </c>
      <c r="O40">
        <v>-50260.43</v>
      </c>
      <c r="P40">
        <v>2143.489999999998</v>
      </c>
    </row>
    <row r="41" spans="1:16" x14ac:dyDescent="0.25">
      <c r="A41" s="18">
        <v>51698</v>
      </c>
      <c r="B41">
        <v>2320542.17</v>
      </c>
      <c r="C41">
        <v>89213.73</v>
      </c>
      <c r="D41">
        <v>409430.8</v>
      </c>
      <c r="E41">
        <v>102798.95</v>
      </c>
      <c r="F41">
        <v>0</v>
      </c>
      <c r="G41">
        <v>1101408.17</v>
      </c>
      <c r="H41">
        <v>0</v>
      </c>
      <c r="I41">
        <v>0</v>
      </c>
      <c r="J41">
        <v>4023393.82</v>
      </c>
      <c r="K41">
        <v>0</v>
      </c>
      <c r="L41">
        <v>21104.38</v>
      </c>
      <c r="M41">
        <v>18013.12</v>
      </c>
      <c r="N41">
        <v>0</v>
      </c>
      <c r="O41">
        <v>-40943.08</v>
      </c>
      <c r="P41">
        <v>-1825.5800000000017</v>
      </c>
    </row>
    <row r="42" spans="1:16" x14ac:dyDescent="0.25">
      <c r="A42" s="18">
        <v>51714</v>
      </c>
      <c r="B42">
        <v>3518963.54</v>
      </c>
      <c r="C42">
        <v>144150.79999999999</v>
      </c>
      <c r="D42">
        <v>938115.71</v>
      </c>
      <c r="E42">
        <v>167130.06</v>
      </c>
      <c r="F42">
        <v>734.57</v>
      </c>
      <c r="G42">
        <v>1513474.18</v>
      </c>
      <c r="H42">
        <v>0</v>
      </c>
      <c r="I42">
        <v>0</v>
      </c>
      <c r="J42">
        <v>6282568.8599999994</v>
      </c>
      <c r="K42">
        <v>0</v>
      </c>
      <c r="L42">
        <v>31386.01</v>
      </c>
      <c r="M42">
        <v>34915.78</v>
      </c>
      <c r="N42">
        <v>0</v>
      </c>
      <c r="O42">
        <v>-93811.57</v>
      </c>
      <c r="P42">
        <v>-27509.780000000013</v>
      </c>
    </row>
    <row r="43" spans="1:16" x14ac:dyDescent="0.25">
      <c r="A43" s="18">
        <v>62026</v>
      </c>
      <c r="B43">
        <v>2820596.45</v>
      </c>
      <c r="C43">
        <v>116013.91</v>
      </c>
      <c r="D43">
        <v>664261.14</v>
      </c>
      <c r="E43">
        <v>50765.27</v>
      </c>
      <c r="F43">
        <v>0</v>
      </c>
      <c r="G43">
        <v>1116450.3899999999</v>
      </c>
      <c r="H43">
        <v>0</v>
      </c>
      <c r="I43">
        <v>0</v>
      </c>
      <c r="J43">
        <v>4768087.16</v>
      </c>
      <c r="K43">
        <v>0</v>
      </c>
      <c r="L43">
        <v>6682.26</v>
      </c>
      <c r="M43">
        <v>23360.65</v>
      </c>
      <c r="N43">
        <v>400249.87</v>
      </c>
      <c r="O43">
        <v>0</v>
      </c>
      <c r="P43">
        <v>430292.78</v>
      </c>
    </row>
    <row r="44" spans="1:16" x14ac:dyDescent="0.25">
      <c r="A44" s="18">
        <v>62042</v>
      </c>
      <c r="B44">
        <v>1924648.01</v>
      </c>
      <c r="C44">
        <v>69246.98</v>
      </c>
      <c r="D44">
        <v>326929.93</v>
      </c>
      <c r="E44">
        <v>20506.36</v>
      </c>
      <c r="F44">
        <v>0</v>
      </c>
      <c r="G44">
        <v>874568.22</v>
      </c>
      <c r="H44">
        <v>0</v>
      </c>
      <c r="I44">
        <v>0</v>
      </c>
      <c r="J44">
        <v>3215899.5</v>
      </c>
      <c r="K44">
        <v>0</v>
      </c>
      <c r="L44">
        <v>13433.07</v>
      </c>
      <c r="M44">
        <v>18284.91</v>
      </c>
      <c r="N44">
        <v>0</v>
      </c>
      <c r="O44">
        <v>-32692.99</v>
      </c>
      <c r="P44">
        <v>-975.01000000000204</v>
      </c>
    </row>
    <row r="45" spans="1:16" x14ac:dyDescent="0.25">
      <c r="A45" s="18">
        <v>62067</v>
      </c>
      <c r="B45">
        <v>3469720.45</v>
      </c>
      <c r="C45">
        <v>139567.66</v>
      </c>
      <c r="D45">
        <v>1178259.19</v>
      </c>
      <c r="E45">
        <v>736059.72</v>
      </c>
      <c r="F45">
        <v>0</v>
      </c>
      <c r="G45">
        <v>1874252.71</v>
      </c>
      <c r="H45">
        <v>0</v>
      </c>
      <c r="I45">
        <v>148222.75</v>
      </c>
      <c r="J45">
        <v>7546082.4800000004</v>
      </c>
      <c r="K45">
        <v>0</v>
      </c>
      <c r="L45">
        <v>17799.13</v>
      </c>
      <c r="M45">
        <v>25508.53</v>
      </c>
      <c r="N45">
        <v>0</v>
      </c>
      <c r="O45">
        <v>-117825.92</v>
      </c>
      <c r="P45">
        <v>-74518.259999999995</v>
      </c>
    </row>
    <row r="46" spans="1:16" x14ac:dyDescent="0.25">
      <c r="A46" s="18">
        <v>62109</v>
      </c>
      <c r="B46">
        <v>4612510.5</v>
      </c>
      <c r="C46">
        <v>198978.3</v>
      </c>
      <c r="D46">
        <v>687941.7</v>
      </c>
      <c r="E46">
        <v>558.24</v>
      </c>
      <c r="F46">
        <v>626.41</v>
      </c>
      <c r="G46">
        <v>2065603.38</v>
      </c>
      <c r="H46">
        <v>0</v>
      </c>
      <c r="I46">
        <v>0</v>
      </c>
      <c r="J46">
        <v>7566218.5300000003</v>
      </c>
      <c r="K46">
        <v>0</v>
      </c>
      <c r="L46">
        <v>3237.26</v>
      </c>
      <c r="M46">
        <v>52048.32</v>
      </c>
      <c r="N46">
        <v>0</v>
      </c>
      <c r="O46">
        <v>-68794.17</v>
      </c>
      <c r="P46">
        <v>-13508.589999999997</v>
      </c>
    </row>
    <row r="47" spans="1:16" x14ac:dyDescent="0.25">
      <c r="A47" s="18">
        <v>62125</v>
      </c>
      <c r="B47">
        <v>6169679.2699999996</v>
      </c>
      <c r="C47">
        <v>264204.34000000003</v>
      </c>
      <c r="D47">
        <v>1418587.63</v>
      </c>
      <c r="E47">
        <v>77656.12</v>
      </c>
      <c r="F47">
        <v>755.68</v>
      </c>
      <c r="G47">
        <v>3574754.2</v>
      </c>
      <c r="H47">
        <v>0</v>
      </c>
      <c r="I47">
        <v>0</v>
      </c>
      <c r="J47">
        <v>11505637.239999998</v>
      </c>
      <c r="K47">
        <v>0</v>
      </c>
      <c r="L47">
        <v>16084.91</v>
      </c>
      <c r="M47">
        <v>41007.269999999997</v>
      </c>
      <c r="N47">
        <v>0</v>
      </c>
      <c r="O47">
        <v>-141858.76</v>
      </c>
      <c r="P47">
        <v>-84766.580000000016</v>
      </c>
    </row>
    <row r="48" spans="1:16" x14ac:dyDescent="0.25">
      <c r="A48" s="18">
        <v>62802</v>
      </c>
      <c r="B48">
        <v>1998102.28</v>
      </c>
      <c r="C48">
        <v>71018.73</v>
      </c>
      <c r="D48">
        <v>317060.07</v>
      </c>
      <c r="E48">
        <v>60585.27</v>
      </c>
      <c r="F48">
        <v>0</v>
      </c>
      <c r="G48">
        <v>883493.69</v>
      </c>
      <c r="H48">
        <v>0</v>
      </c>
      <c r="I48">
        <v>0</v>
      </c>
      <c r="J48">
        <v>3330260.04</v>
      </c>
      <c r="K48">
        <v>0</v>
      </c>
      <c r="L48">
        <v>5568.88</v>
      </c>
      <c r="M48">
        <v>12385.14</v>
      </c>
      <c r="N48">
        <v>22602.93</v>
      </c>
      <c r="O48">
        <v>0</v>
      </c>
      <c r="P48">
        <v>40556.949999999997</v>
      </c>
    </row>
    <row r="49" spans="1:16" x14ac:dyDescent="0.25">
      <c r="A49" s="18">
        <v>63495</v>
      </c>
      <c r="B49">
        <v>1901705.37</v>
      </c>
      <c r="C49">
        <v>66697.14</v>
      </c>
      <c r="D49">
        <v>177417.31</v>
      </c>
      <c r="E49">
        <v>14552.33</v>
      </c>
      <c r="F49">
        <v>0</v>
      </c>
      <c r="G49">
        <v>799183.24</v>
      </c>
      <c r="H49">
        <v>0</v>
      </c>
      <c r="I49">
        <v>0</v>
      </c>
      <c r="J49">
        <v>2959555.3899999997</v>
      </c>
      <c r="K49">
        <v>0</v>
      </c>
      <c r="L49">
        <v>3540.34</v>
      </c>
      <c r="M49">
        <v>20963.060000000001</v>
      </c>
      <c r="N49">
        <v>380.97</v>
      </c>
      <c r="O49">
        <v>0</v>
      </c>
      <c r="P49">
        <v>24884.370000000003</v>
      </c>
    </row>
    <row r="50" spans="1:16" x14ac:dyDescent="0.25">
      <c r="A50" s="18">
        <v>63511</v>
      </c>
      <c r="B50">
        <v>1602521.54</v>
      </c>
      <c r="C50">
        <v>66251.28</v>
      </c>
      <c r="D50">
        <v>220545.89</v>
      </c>
      <c r="E50">
        <v>17506.87</v>
      </c>
      <c r="F50">
        <v>3124.88</v>
      </c>
      <c r="G50">
        <v>436792.71</v>
      </c>
      <c r="H50">
        <v>0</v>
      </c>
      <c r="I50">
        <v>0</v>
      </c>
      <c r="J50">
        <v>2346743.17</v>
      </c>
      <c r="K50">
        <v>0</v>
      </c>
      <c r="L50">
        <v>22740.78</v>
      </c>
      <c r="M50">
        <v>96577.5</v>
      </c>
      <c r="N50">
        <v>0</v>
      </c>
      <c r="O50">
        <v>-22054.59</v>
      </c>
      <c r="P50">
        <v>97263.69</v>
      </c>
    </row>
    <row r="51" spans="1:16" x14ac:dyDescent="0.25">
      <c r="A51" s="18">
        <v>65227</v>
      </c>
      <c r="B51">
        <v>1338570.47</v>
      </c>
      <c r="C51">
        <v>38940.730000000003</v>
      </c>
      <c r="D51">
        <v>264334.90000000002</v>
      </c>
      <c r="E51">
        <v>65252.56</v>
      </c>
      <c r="F51">
        <v>112.16</v>
      </c>
      <c r="G51">
        <v>466649.53</v>
      </c>
      <c r="H51">
        <v>0</v>
      </c>
      <c r="I51">
        <v>0</v>
      </c>
      <c r="J51">
        <v>2173860.35</v>
      </c>
      <c r="K51">
        <v>0</v>
      </c>
      <c r="L51">
        <v>12243.11</v>
      </c>
      <c r="M51">
        <v>11016.48</v>
      </c>
      <c r="N51">
        <v>0</v>
      </c>
      <c r="O51">
        <v>-26433.49</v>
      </c>
      <c r="P51">
        <v>-3173.9000000000015</v>
      </c>
    </row>
    <row r="52" spans="1:16" x14ac:dyDescent="0.25">
      <c r="A52" s="18">
        <v>65268</v>
      </c>
      <c r="B52">
        <v>3989782.68</v>
      </c>
      <c r="C52">
        <v>150020.37</v>
      </c>
      <c r="D52">
        <v>419777.56</v>
      </c>
      <c r="E52">
        <v>76608.95</v>
      </c>
      <c r="F52">
        <v>0</v>
      </c>
      <c r="G52">
        <v>1184442.5900000001</v>
      </c>
      <c r="H52">
        <v>0</v>
      </c>
      <c r="I52">
        <v>217519.22</v>
      </c>
      <c r="J52">
        <v>6038151.3700000001</v>
      </c>
      <c r="K52">
        <v>0</v>
      </c>
      <c r="L52">
        <v>86470.11</v>
      </c>
      <c r="M52">
        <v>40401.040000000001</v>
      </c>
      <c r="N52">
        <v>67742.67</v>
      </c>
      <c r="O52">
        <v>0</v>
      </c>
      <c r="P52">
        <v>194613.82</v>
      </c>
    </row>
    <row r="53" spans="1:16" x14ac:dyDescent="0.25">
      <c r="A53" s="18" t="s">
        <v>16</v>
      </c>
      <c r="B53" s="9">
        <v>195571272.58999997</v>
      </c>
      <c r="C53" s="9">
        <v>8016947.2200000016</v>
      </c>
      <c r="D53" s="9">
        <v>39151133.260000013</v>
      </c>
      <c r="E53" s="9">
        <v>6278621.8099999987</v>
      </c>
      <c r="F53" s="9">
        <v>131707.97</v>
      </c>
      <c r="G53" s="9">
        <v>96707119.799999982</v>
      </c>
      <c r="H53" s="9">
        <v>117007.17</v>
      </c>
      <c r="I53" s="9">
        <v>1005154.91</v>
      </c>
      <c r="J53" s="9">
        <v>346978964.73000002</v>
      </c>
      <c r="K53" s="9">
        <v>-334338.49</v>
      </c>
      <c r="L53" s="9">
        <v>1780241.2000000002</v>
      </c>
      <c r="M53" s="9">
        <v>2548871.21</v>
      </c>
      <c r="N53" s="9">
        <v>2131744.46</v>
      </c>
      <c r="O53" s="9">
        <v>-3568761.2800000003</v>
      </c>
      <c r="P53" s="9">
        <v>2557757.1000000006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N52"/>
  <sheetViews>
    <sheetView workbookViewId="0">
      <pane xSplit="3" ySplit="2" topLeftCell="D36" activePane="bottomRight" state="frozen"/>
      <selection pane="topRight" activeCell="D1" sqref="D1"/>
      <selection pane="bottomLeft" activeCell="A3" sqref="A3"/>
      <selection pane="bottomRight" activeCell="F55" sqref="F55"/>
    </sheetView>
  </sheetViews>
  <sheetFormatPr defaultRowHeight="15" x14ac:dyDescent="0.25"/>
  <cols>
    <col min="1" max="1" width="7" bestFit="1" customWidth="1"/>
    <col min="2" max="2" width="46" bestFit="1" customWidth="1"/>
    <col min="3" max="3" width="13.140625" bestFit="1" customWidth="1"/>
    <col min="4" max="6" width="12.85546875" customWidth="1"/>
    <col min="7" max="7" width="13.5703125" customWidth="1"/>
    <col min="8" max="9" width="13.28515625" bestFit="1" customWidth="1"/>
  </cols>
  <sheetData>
    <row r="2" spans="1:40" s="4" customFormat="1" ht="75" x14ac:dyDescent="0.25">
      <c r="A2" s="4" t="s">
        <v>93</v>
      </c>
      <c r="B2" s="3" t="s">
        <v>940</v>
      </c>
      <c r="C2" s="3" t="s">
        <v>95</v>
      </c>
      <c r="D2" s="3" t="s">
        <v>994</v>
      </c>
      <c r="E2" s="8" t="s">
        <v>990</v>
      </c>
      <c r="F2" s="8" t="s">
        <v>991</v>
      </c>
      <c r="G2" s="3" t="s">
        <v>992</v>
      </c>
      <c r="H2" s="3" t="s">
        <v>200</v>
      </c>
      <c r="I2" s="3" t="s">
        <v>201</v>
      </c>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x14ac:dyDescent="0.25">
      <c r="A3" t="s">
        <v>101</v>
      </c>
      <c r="B3" t="s">
        <v>102</v>
      </c>
      <c r="C3" t="s">
        <v>202</v>
      </c>
      <c r="D3" s="1">
        <f>VLOOKUP(A3,'ADM Data'!$A$2:$V$50,22,FALSE)</f>
        <v>836.556375</v>
      </c>
      <c r="E3" s="1">
        <f>VLOOKUP(A3,'ADM Data'!$A$2:$W$50,23,FALSE)</f>
        <v>12.571892999999999</v>
      </c>
      <c r="F3" s="1">
        <f>VLOOKUP(A3,'ADM Data'!$A$2:$X$50,24,FALSE)</f>
        <v>193.21496099999999</v>
      </c>
      <c r="G3" s="1">
        <f>VLOOKUP(A3,'ADM Data'!$A$2:$Y$50,25,FALSE)</f>
        <v>1020.0880560000001</v>
      </c>
      <c r="H3" s="1">
        <f t="shared" ref="H3:H34" si="0">ROUND((D3/18)+(E3/25)+(F3/27),2)</f>
        <v>54.13</v>
      </c>
      <c r="I3" s="1">
        <f>VLOOKUP(A3,'ADM Data'!$A$2:$U$50,21,FALSE)</f>
        <v>1042.3432290000001</v>
      </c>
    </row>
    <row r="4" spans="1:40" x14ac:dyDescent="0.25">
      <c r="A4" t="s">
        <v>103</v>
      </c>
      <c r="B4" t="s">
        <v>104</v>
      </c>
      <c r="C4" t="s">
        <v>203</v>
      </c>
      <c r="D4" s="1">
        <f>VLOOKUP(A4,'ADM Data'!$A$2:$V$50,22,FALSE)</f>
        <v>480.210441</v>
      </c>
      <c r="E4" s="1">
        <f>VLOOKUP(A4,'ADM Data'!$A$2:$W$50,23,FALSE)</f>
        <v>28.899069000000001</v>
      </c>
      <c r="F4" s="1">
        <f>VLOOKUP(A4,'ADM Data'!$A$2:$X$50,24,FALSE)</f>
        <v>91.137587999999994</v>
      </c>
      <c r="G4" s="1">
        <f>VLOOKUP(A4,'ADM Data'!$A$2:$Y$50,25,FALSE)</f>
        <v>501.18258700000001</v>
      </c>
      <c r="H4" s="1">
        <f t="shared" si="0"/>
        <v>31.21</v>
      </c>
      <c r="I4" s="1">
        <f>VLOOKUP(A4,'ADM Data'!$A$2:$U$50,21,FALSE)</f>
        <v>600.24709800000005</v>
      </c>
    </row>
    <row r="5" spans="1:40" x14ac:dyDescent="0.25">
      <c r="A5" t="s">
        <v>105</v>
      </c>
      <c r="B5" t="s">
        <v>106</v>
      </c>
      <c r="C5" t="s">
        <v>204</v>
      </c>
      <c r="D5" s="1">
        <f>VLOOKUP(A5,'ADM Data'!$A$2:$V$50,22,FALSE)</f>
        <v>535.60845500000005</v>
      </c>
      <c r="E5" s="1">
        <f>VLOOKUP(A5,'ADM Data'!$A$2:$W$50,23,FALSE)</f>
        <v>23.631899000000001</v>
      </c>
      <c r="F5" s="1">
        <f>VLOOKUP(A5,'ADM Data'!$A$2:$X$50,24,FALSE)</f>
        <v>159.95095699999999</v>
      </c>
      <c r="G5" s="1">
        <f>VLOOKUP(A5,'ADM Data'!$A$2:$Y$50,25,FALSE)</f>
        <v>677.293004</v>
      </c>
      <c r="H5" s="1">
        <f t="shared" si="0"/>
        <v>36.630000000000003</v>
      </c>
      <c r="I5" s="1">
        <f>VLOOKUP(A5,'ADM Data'!$A$2:$U$50,21,FALSE)</f>
        <v>719.19131100000004</v>
      </c>
    </row>
    <row r="6" spans="1:40" x14ac:dyDescent="0.25">
      <c r="A6" t="s">
        <v>107</v>
      </c>
      <c r="B6" t="s">
        <v>108</v>
      </c>
      <c r="C6" t="s">
        <v>205</v>
      </c>
      <c r="D6" s="1">
        <f>VLOOKUP(A6,'ADM Data'!$A$2:$V$50,22,FALSE)</f>
        <v>444.96661</v>
      </c>
      <c r="E6" s="1">
        <f>VLOOKUP(A6,'ADM Data'!$A$2:$W$50,23,FALSE)</f>
        <v>5.6415389999999999</v>
      </c>
      <c r="F6" s="1">
        <f>VLOOKUP(A6,'ADM Data'!$A$2:$X$50,24,FALSE)</f>
        <v>52.993147999999998</v>
      </c>
      <c r="G6" s="1">
        <f>VLOOKUP(A6,'ADM Data'!$A$2:$Y$50,25,FALSE)</f>
        <v>482.23393800000002</v>
      </c>
      <c r="H6" s="1">
        <f t="shared" si="0"/>
        <v>26.91</v>
      </c>
      <c r="I6" s="1">
        <f>VLOOKUP(A6,'ADM Data'!$A$2:$U$50,21,FALSE)</f>
        <v>503.60129699999999</v>
      </c>
    </row>
    <row r="7" spans="1:40" x14ac:dyDescent="0.25">
      <c r="A7" t="s">
        <v>109</v>
      </c>
      <c r="B7" t="s">
        <v>110</v>
      </c>
      <c r="C7" t="s">
        <v>206</v>
      </c>
      <c r="D7" s="1">
        <f>VLOOKUP(A7,'ADM Data'!$A$2:$V$50,22,FALSE)</f>
        <v>2733.671366</v>
      </c>
      <c r="E7" s="1">
        <f>VLOOKUP(A7,'ADM Data'!$A$2:$W$50,23,FALSE)</f>
        <v>256.81473099999999</v>
      </c>
      <c r="F7" s="1">
        <f>VLOOKUP(A7,'ADM Data'!$A$2:$X$50,24,FALSE)</f>
        <v>917.12243000000001</v>
      </c>
      <c r="G7" s="1">
        <f>VLOOKUP(A7,'ADM Data'!$A$2:$Y$50,25,FALSE)</f>
        <v>3481.1138999999998</v>
      </c>
      <c r="H7" s="1">
        <f t="shared" si="0"/>
        <v>196.11</v>
      </c>
      <c r="I7" s="1">
        <f>VLOOKUP(A7,'ADM Data'!$A$2:$U$50,21,FALSE)</f>
        <v>3907.6085269999999</v>
      </c>
    </row>
    <row r="8" spans="1:40" x14ac:dyDescent="0.25">
      <c r="A8" t="s">
        <v>111</v>
      </c>
      <c r="B8" t="s">
        <v>112</v>
      </c>
      <c r="C8" t="s">
        <v>207</v>
      </c>
      <c r="D8" s="1">
        <f>VLOOKUP(A8,'ADM Data'!$A$2:$V$50,22,FALSE)</f>
        <v>278.53933699999999</v>
      </c>
      <c r="E8" s="1">
        <f>VLOOKUP(A8,'ADM Data'!$A$2:$W$50,23,FALSE)</f>
        <v>0</v>
      </c>
      <c r="F8" s="1">
        <f>VLOOKUP(A8,'ADM Data'!$A$2:$X$50,24,FALSE)</f>
        <v>36.140918999999997</v>
      </c>
      <c r="G8" s="1">
        <f>VLOOKUP(A8,'ADM Data'!$A$2:$Y$50,25,FALSE)</f>
        <v>314.68025599999999</v>
      </c>
      <c r="H8" s="1">
        <f t="shared" si="0"/>
        <v>16.809999999999999</v>
      </c>
      <c r="I8" s="1">
        <f>VLOOKUP(A8,'ADM Data'!$A$2:$U$50,21,FALSE)</f>
        <v>314.68025599999999</v>
      </c>
    </row>
    <row r="9" spans="1:40" x14ac:dyDescent="0.25">
      <c r="A9" t="s">
        <v>113</v>
      </c>
      <c r="B9" t="s">
        <v>114</v>
      </c>
      <c r="C9" t="s">
        <v>208</v>
      </c>
      <c r="D9" s="1">
        <f>VLOOKUP(A9,'ADM Data'!$A$2:$V$50,22,FALSE)</f>
        <v>357.78391499999998</v>
      </c>
      <c r="E9" s="1">
        <f>VLOOKUP(A9,'ADM Data'!$A$2:$W$50,23,FALSE)</f>
        <v>0</v>
      </c>
      <c r="F9" s="1">
        <f>VLOOKUP(A9,'ADM Data'!$A$2:$X$50,24,FALSE)</f>
        <v>86.111114999999998</v>
      </c>
      <c r="G9" s="1">
        <f>VLOOKUP(A9,'ADM Data'!$A$2:$Y$50,25,FALSE)</f>
        <v>443.89503000000002</v>
      </c>
      <c r="H9" s="1">
        <f t="shared" si="0"/>
        <v>23.07</v>
      </c>
      <c r="I9" s="1">
        <f>VLOOKUP(A9,'ADM Data'!$A$2:$U$50,21,FALSE)</f>
        <v>443.89503000000002</v>
      </c>
    </row>
    <row r="10" spans="1:40" x14ac:dyDescent="0.25">
      <c r="A10" t="s">
        <v>115</v>
      </c>
      <c r="B10" t="s">
        <v>116</v>
      </c>
      <c r="C10" t="s">
        <v>208</v>
      </c>
      <c r="D10" s="1">
        <f>VLOOKUP(A10,'ADM Data'!$A$2:$V$50,22,FALSE)</f>
        <v>415.07251500000001</v>
      </c>
      <c r="E10" s="1">
        <f>VLOOKUP(A10,'ADM Data'!$A$2:$W$50,23,FALSE)</f>
        <v>63.559069999999998</v>
      </c>
      <c r="F10" s="1">
        <f>VLOOKUP(A10,'ADM Data'!$A$2:$X$50,24,FALSE)</f>
        <v>231.20345499999999</v>
      </c>
      <c r="G10" s="1">
        <f>VLOOKUP(A10,'ADM Data'!$A$2:$Y$50,25,FALSE)</f>
        <v>616.08671200000003</v>
      </c>
      <c r="H10" s="1">
        <f t="shared" si="0"/>
        <v>34.17</v>
      </c>
      <c r="I10" s="1">
        <f>VLOOKUP(A10,'ADM Data'!$A$2:$U$50,21,FALSE)</f>
        <v>709.83504000000005</v>
      </c>
    </row>
    <row r="11" spans="1:40" x14ac:dyDescent="0.25">
      <c r="A11" t="s">
        <v>117</v>
      </c>
      <c r="B11" t="s">
        <v>118</v>
      </c>
      <c r="C11" t="s">
        <v>209</v>
      </c>
      <c r="D11" s="1">
        <f>VLOOKUP(A11,'ADM Data'!$A$2:$V$50,22,FALSE)</f>
        <v>828.96509200000003</v>
      </c>
      <c r="E11" s="1">
        <f>VLOOKUP(A11,'ADM Data'!$A$2:$W$50,23,FALSE)</f>
        <v>5.0363160000000002</v>
      </c>
      <c r="F11" s="1">
        <f>VLOOKUP(A11,'ADM Data'!$A$2:$X$50,24,FALSE)</f>
        <v>185.99074200000001</v>
      </c>
      <c r="G11" s="1">
        <f>VLOOKUP(A11,'ADM Data'!$A$2:$Y$50,25,FALSE)</f>
        <v>1002.65284</v>
      </c>
      <c r="H11" s="1">
        <f t="shared" si="0"/>
        <v>53.14</v>
      </c>
      <c r="I11" s="1">
        <f>VLOOKUP(A11,'ADM Data'!$A$2:$U$50,21,FALSE)</f>
        <v>1019.99215</v>
      </c>
    </row>
    <row r="12" spans="1:40" x14ac:dyDescent="0.25">
      <c r="A12" t="s">
        <v>119</v>
      </c>
      <c r="B12" t="s">
        <v>120</v>
      </c>
      <c r="C12" t="s">
        <v>210</v>
      </c>
      <c r="D12" s="1">
        <f>VLOOKUP(A12,'ADM Data'!$A$2:$V$50,22,FALSE)</f>
        <v>703.80688999999995</v>
      </c>
      <c r="E12" s="1">
        <f>VLOOKUP(A12,'ADM Data'!$A$2:$W$50,23,FALSE)</f>
        <v>23.562147</v>
      </c>
      <c r="F12" s="1">
        <f>VLOOKUP(A12,'ADM Data'!$A$2:$X$50,24,FALSE)</f>
        <v>123.365341</v>
      </c>
      <c r="G12" s="1">
        <f>VLOOKUP(A12,'ADM Data'!$A$2:$Y$50,25,FALSE)</f>
        <v>800.43260299999997</v>
      </c>
      <c r="H12" s="1">
        <f t="shared" si="0"/>
        <v>44.61</v>
      </c>
      <c r="I12" s="1">
        <f>VLOOKUP(A12,'ADM Data'!$A$2:$U$50,21,FALSE)</f>
        <v>850.73437799999999</v>
      </c>
    </row>
    <row r="13" spans="1:40" x14ac:dyDescent="0.25">
      <c r="A13" t="s">
        <v>121</v>
      </c>
      <c r="B13" t="s">
        <v>122</v>
      </c>
      <c r="C13" t="s">
        <v>211</v>
      </c>
      <c r="D13" s="1">
        <f>VLOOKUP(A13,'ADM Data'!$A$2:$V$50,22,FALSE)</f>
        <v>1125.425191</v>
      </c>
      <c r="E13" s="1">
        <f>VLOOKUP(A13,'ADM Data'!$A$2:$W$50,23,FALSE)</f>
        <v>59.456445000000002</v>
      </c>
      <c r="F13" s="1">
        <f>VLOOKUP(A13,'ADM Data'!$A$2:$X$50,24,FALSE)</f>
        <v>404.740542</v>
      </c>
      <c r="G13" s="1">
        <f>VLOOKUP(A13,'ADM Data'!$A$2:$Y$50,25,FALSE)</f>
        <v>1507.4949979999999</v>
      </c>
      <c r="H13" s="1">
        <f t="shared" si="0"/>
        <v>79.89</v>
      </c>
      <c r="I13" s="1">
        <f>VLOOKUP(A13,'ADM Data'!$A$2:$U$50,21,FALSE)</f>
        <v>1589.6221780000001</v>
      </c>
    </row>
    <row r="14" spans="1:40" x14ac:dyDescent="0.25">
      <c r="A14" t="s">
        <v>123</v>
      </c>
      <c r="B14" t="s">
        <v>124</v>
      </c>
      <c r="C14" t="s">
        <v>212</v>
      </c>
      <c r="D14" s="1">
        <f>VLOOKUP(A14,'ADM Data'!$A$2:$V$50,22,FALSE)</f>
        <v>683.39608099999998</v>
      </c>
      <c r="E14" s="1">
        <f>VLOOKUP(A14,'ADM Data'!$A$2:$W$50,23,FALSE)</f>
        <v>0</v>
      </c>
      <c r="F14" s="1">
        <f>VLOOKUP(A14,'ADM Data'!$A$2:$X$50,24,FALSE)</f>
        <v>141.22216499999999</v>
      </c>
      <c r="G14" s="1">
        <f>VLOOKUP(A14,'ADM Data'!$A$2:$Y$50,25,FALSE)</f>
        <v>824.618246</v>
      </c>
      <c r="H14" s="1">
        <f t="shared" si="0"/>
        <v>43.2</v>
      </c>
      <c r="I14" s="1">
        <f>VLOOKUP(A14,'ADM Data'!$A$2:$U$50,21,FALSE)</f>
        <v>824.618246</v>
      </c>
    </row>
    <row r="15" spans="1:40" x14ac:dyDescent="0.25">
      <c r="A15" t="s">
        <v>125</v>
      </c>
      <c r="B15" t="s">
        <v>126</v>
      </c>
      <c r="C15" t="s">
        <v>213</v>
      </c>
      <c r="D15" s="1">
        <f>VLOOKUP(A15,'ADM Data'!$A$2:$V$50,22,FALSE)</f>
        <v>960.83243700000003</v>
      </c>
      <c r="E15" s="1">
        <f>VLOOKUP(A15,'ADM Data'!$A$2:$W$50,23,FALSE)</f>
        <v>62.401676000000002</v>
      </c>
      <c r="F15" s="1">
        <f>VLOOKUP(A15,'ADM Data'!$A$2:$X$50,24,FALSE)</f>
        <v>240.026602</v>
      </c>
      <c r="G15" s="1">
        <f>VLOOKUP(A15,'ADM Data'!$A$2:$Y$50,25,FALSE)</f>
        <v>1116.0381749999999</v>
      </c>
      <c r="H15" s="1">
        <f t="shared" si="0"/>
        <v>64.77</v>
      </c>
      <c r="I15" s="1">
        <f>VLOOKUP(A15,'ADM Data'!$A$2:$U$50,21,FALSE)</f>
        <v>1263.2607149999999</v>
      </c>
    </row>
    <row r="16" spans="1:40" x14ac:dyDescent="0.25">
      <c r="A16" t="s">
        <v>127</v>
      </c>
      <c r="B16" t="s">
        <v>128</v>
      </c>
      <c r="C16" t="s">
        <v>214</v>
      </c>
      <c r="D16" s="1">
        <f>VLOOKUP(A16,'ADM Data'!$A$2:$V$50,22,FALSE)</f>
        <v>3624.7038149999998</v>
      </c>
      <c r="E16" s="1">
        <f>VLOOKUP(A16,'ADM Data'!$A$2:$W$50,23,FALSE)</f>
        <v>311.34267999999997</v>
      </c>
      <c r="F16" s="1">
        <f>VLOOKUP(A16,'ADM Data'!$A$2:$X$50,24,FALSE)</f>
        <v>561.913679</v>
      </c>
      <c r="G16" s="1">
        <f>VLOOKUP(A16,'ADM Data'!$A$2:$Y$50,25,FALSE)</f>
        <v>3961.9941739999999</v>
      </c>
      <c r="H16" s="1">
        <f t="shared" si="0"/>
        <v>234.64</v>
      </c>
      <c r="I16" s="1">
        <f>VLOOKUP(A16,'ADM Data'!$A$2:$U$50,21,FALSE)</f>
        <v>4497.9601739999998</v>
      </c>
    </row>
    <row r="17" spans="1:9" x14ac:dyDescent="0.25">
      <c r="A17" t="s">
        <v>129</v>
      </c>
      <c r="B17" t="s">
        <v>130</v>
      </c>
      <c r="C17" t="s">
        <v>215</v>
      </c>
      <c r="D17" s="1">
        <f>VLOOKUP(A17,'ADM Data'!$A$2:$V$50,22,FALSE)</f>
        <v>298.49222500000002</v>
      </c>
      <c r="E17" s="1">
        <f>VLOOKUP(A17,'ADM Data'!$A$2:$W$50,23,FALSE)</f>
        <v>0</v>
      </c>
      <c r="F17" s="1">
        <f>VLOOKUP(A17,'ADM Data'!$A$2:$X$50,24,FALSE)</f>
        <v>62.269979999999997</v>
      </c>
      <c r="G17" s="1">
        <f>VLOOKUP(A17,'ADM Data'!$A$2:$Y$50,25,FALSE)</f>
        <v>360.76220499999999</v>
      </c>
      <c r="H17" s="1">
        <f t="shared" si="0"/>
        <v>18.89</v>
      </c>
      <c r="I17" s="1">
        <f>VLOOKUP(A17,'ADM Data'!$A$2:$U$50,21,FALSE)</f>
        <v>360.76220499999999</v>
      </c>
    </row>
    <row r="18" spans="1:9" x14ac:dyDescent="0.25">
      <c r="A18" t="s">
        <v>131</v>
      </c>
      <c r="B18" t="s">
        <v>132</v>
      </c>
      <c r="C18" t="s">
        <v>216</v>
      </c>
      <c r="D18" s="1">
        <f>VLOOKUP(A18,'ADM Data'!$A$2:$V$50,22,FALSE)</f>
        <v>484.81151199999999</v>
      </c>
      <c r="E18" s="1">
        <f>VLOOKUP(A18,'ADM Data'!$A$2:$W$50,23,FALSE)</f>
        <v>0</v>
      </c>
      <c r="F18" s="1">
        <f>VLOOKUP(A18,'ADM Data'!$A$2:$X$50,24,FALSE)</f>
        <v>106.866255</v>
      </c>
      <c r="G18" s="1">
        <f>VLOOKUP(A18,'ADM Data'!$A$2:$Y$50,25,FALSE)</f>
        <v>591.67776700000002</v>
      </c>
      <c r="H18" s="1">
        <f t="shared" si="0"/>
        <v>30.89</v>
      </c>
      <c r="I18" s="1">
        <f>VLOOKUP(A18,'ADM Data'!$A$2:$U$50,21,FALSE)</f>
        <v>591.67776700000002</v>
      </c>
    </row>
    <row r="19" spans="1:9" x14ac:dyDescent="0.25">
      <c r="A19" t="s">
        <v>133</v>
      </c>
      <c r="B19" t="s">
        <v>134</v>
      </c>
      <c r="C19" t="s">
        <v>217</v>
      </c>
      <c r="D19" s="1">
        <f>VLOOKUP(A19,'ADM Data'!$A$2:$V$50,22,FALSE)</f>
        <v>419.086253</v>
      </c>
      <c r="E19" s="1">
        <f>VLOOKUP(A19,'ADM Data'!$A$2:$W$50,23,FALSE)</f>
        <v>0</v>
      </c>
      <c r="F19" s="1">
        <f>VLOOKUP(A19,'ADM Data'!$A$2:$X$50,24,FALSE)</f>
        <v>13.525188</v>
      </c>
      <c r="G19" s="1">
        <f>VLOOKUP(A19,'ADM Data'!$A$2:$Y$50,25,FALSE)</f>
        <v>432.61144100000001</v>
      </c>
      <c r="H19" s="1">
        <f t="shared" si="0"/>
        <v>23.78</v>
      </c>
      <c r="I19" s="1">
        <f>VLOOKUP(A19,'ADM Data'!$A$2:$U$50,21,FALSE)</f>
        <v>432.61144100000001</v>
      </c>
    </row>
    <row r="20" spans="1:9" x14ac:dyDescent="0.25">
      <c r="A20" t="s">
        <v>135</v>
      </c>
      <c r="B20" t="s">
        <v>136</v>
      </c>
      <c r="C20" t="s">
        <v>218</v>
      </c>
      <c r="D20" s="1">
        <f>VLOOKUP(A20,'ADM Data'!$A$2:$V$50,22,FALSE)</f>
        <v>729.33886199999995</v>
      </c>
      <c r="E20" s="1">
        <f>VLOOKUP(A20,'ADM Data'!$A$2:$W$50,23,FALSE)</f>
        <v>6.0051899999999998</v>
      </c>
      <c r="F20" s="1">
        <f>VLOOKUP(A20,'ADM Data'!$A$2:$X$50,24,FALSE)</f>
        <v>3.8149329999999999</v>
      </c>
      <c r="G20" s="1">
        <f>VLOOKUP(A20,'ADM Data'!$A$2:$Y$50,25,FALSE)</f>
        <v>707.042418</v>
      </c>
      <c r="H20" s="1">
        <f t="shared" si="0"/>
        <v>40.9</v>
      </c>
      <c r="I20" s="1">
        <f>VLOOKUP(A20,'ADM Data'!$A$2:$U$50,21,FALSE)</f>
        <v>739.15898499999992</v>
      </c>
    </row>
    <row r="21" spans="1:9" x14ac:dyDescent="0.25">
      <c r="A21" t="s">
        <v>137</v>
      </c>
      <c r="B21" t="s">
        <v>138</v>
      </c>
      <c r="C21" t="s">
        <v>219</v>
      </c>
      <c r="D21" s="1">
        <f>VLOOKUP(A21,'ADM Data'!$A$2:$V$50,22,FALSE)</f>
        <v>814.56641300000001</v>
      </c>
      <c r="E21" s="1">
        <f>VLOOKUP(A21,'ADM Data'!$A$2:$W$50,23,FALSE)</f>
        <v>61.920318999999999</v>
      </c>
      <c r="F21" s="1">
        <f>VLOOKUP(A21,'ADM Data'!$A$2:$X$50,24,FALSE)</f>
        <v>190.370463</v>
      </c>
      <c r="G21" s="1">
        <f>VLOOKUP(A21,'ADM Data'!$A$2:$Y$50,25,FALSE)</f>
        <v>939.03880100000003</v>
      </c>
      <c r="H21" s="1">
        <f t="shared" si="0"/>
        <v>54.78</v>
      </c>
      <c r="I21" s="1">
        <f>VLOOKUP(A21,'ADM Data'!$A$2:$U$50,21,FALSE)</f>
        <v>1066.857195</v>
      </c>
    </row>
    <row r="22" spans="1:9" x14ac:dyDescent="0.25">
      <c r="A22" t="s">
        <v>139</v>
      </c>
      <c r="B22" t="s">
        <v>140</v>
      </c>
      <c r="C22" t="s">
        <v>220</v>
      </c>
      <c r="D22" s="1">
        <f>VLOOKUP(A22,'ADM Data'!$A$2:$V$50,22,FALSE)</f>
        <v>1149.8907300000001</v>
      </c>
      <c r="E22" s="1">
        <f>VLOOKUP(A22,'ADM Data'!$A$2:$W$50,23,FALSE)</f>
        <v>0.339306</v>
      </c>
      <c r="F22" s="1">
        <f>VLOOKUP(A22,'ADM Data'!$A$2:$X$50,24,FALSE)</f>
        <v>197.15648899999999</v>
      </c>
      <c r="G22" s="1">
        <f>VLOOKUP(A22,'ADM Data'!$A$2:$Y$50,25,FALSE)</f>
        <v>1329.8249049999999</v>
      </c>
      <c r="H22" s="1">
        <f t="shared" si="0"/>
        <v>71.2</v>
      </c>
      <c r="I22" s="1">
        <f>VLOOKUP(A22,'ADM Data'!$A$2:$U$50,21,FALSE)</f>
        <v>1347.3865249999999</v>
      </c>
    </row>
    <row r="23" spans="1:9" x14ac:dyDescent="0.25">
      <c r="A23" t="s">
        <v>141</v>
      </c>
      <c r="B23" t="s">
        <v>142</v>
      </c>
      <c r="C23" t="s">
        <v>221</v>
      </c>
      <c r="D23" s="1">
        <f>VLOOKUP(A23,'ADM Data'!$A$2:$V$50,22,FALSE)</f>
        <v>677.633914</v>
      </c>
      <c r="E23" s="1">
        <f>VLOOKUP(A23,'ADM Data'!$A$2:$W$50,23,FALSE)</f>
        <v>0</v>
      </c>
      <c r="F23" s="1">
        <f>VLOOKUP(A23,'ADM Data'!$A$2:$X$50,24,FALSE)</f>
        <v>94.334315000000004</v>
      </c>
      <c r="G23" s="1">
        <f>VLOOKUP(A23,'ADM Data'!$A$2:$Y$50,25,FALSE)</f>
        <v>771.96822899999995</v>
      </c>
      <c r="H23" s="1">
        <f t="shared" si="0"/>
        <v>41.14</v>
      </c>
      <c r="I23" s="1">
        <f>VLOOKUP(A23,'ADM Data'!$A$2:$U$50,21,FALSE)</f>
        <v>771.96822900000006</v>
      </c>
    </row>
    <row r="24" spans="1:9" x14ac:dyDescent="0.25">
      <c r="A24" t="s">
        <v>143</v>
      </c>
      <c r="B24" t="s">
        <v>144</v>
      </c>
      <c r="C24" t="s">
        <v>222</v>
      </c>
      <c r="D24" s="1">
        <f>VLOOKUP(A24,'ADM Data'!$A$2:$V$50,22,FALSE)</f>
        <v>1731.9021150000001</v>
      </c>
      <c r="E24" s="1">
        <f>VLOOKUP(A24,'ADM Data'!$A$2:$W$50,23,FALSE)</f>
        <v>87.436341999999996</v>
      </c>
      <c r="F24" s="1">
        <f>VLOOKUP(A24,'ADM Data'!$A$2:$X$50,24,FALSE)</f>
        <v>376.11719099999999</v>
      </c>
      <c r="G24" s="1">
        <f>VLOOKUP(A24,'ADM Data'!$A$2:$Y$50,25,FALSE)</f>
        <v>2063.9516410000001</v>
      </c>
      <c r="H24" s="1">
        <f t="shared" si="0"/>
        <v>113.64</v>
      </c>
      <c r="I24" s="1">
        <f>VLOOKUP(A24,'ADM Data'!$A$2:$U$50,21,FALSE)</f>
        <v>2195.4556480000001</v>
      </c>
    </row>
    <row r="25" spans="1:9" x14ac:dyDescent="0.25">
      <c r="A25" t="s">
        <v>145</v>
      </c>
      <c r="B25" t="s">
        <v>146</v>
      </c>
      <c r="C25" t="s">
        <v>223</v>
      </c>
      <c r="D25" s="1">
        <f>VLOOKUP(A25,'ADM Data'!$A$2:$V$50,22,FALSE)</f>
        <v>941.11635999999999</v>
      </c>
      <c r="E25" s="1">
        <f>VLOOKUP(A25,'ADM Data'!$A$2:$W$50,23,FALSE)</f>
        <v>10.978123</v>
      </c>
      <c r="F25" s="1">
        <f>VLOOKUP(A25,'ADM Data'!$A$2:$X$50,24,FALSE)</f>
        <v>205.193015</v>
      </c>
      <c r="G25" s="1">
        <f>VLOOKUP(A25,'ADM Data'!$A$2:$Y$50,25,FALSE)</f>
        <v>1139.0677069999999</v>
      </c>
      <c r="H25" s="1">
        <f t="shared" si="0"/>
        <v>60.32</v>
      </c>
      <c r="I25" s="1">
        <f>VLOOKUP(A25,'ADM Data'!$A$2:$U$50,21,FALSE)</f>
        <v>1157.2874979999999</v>
      </c>
    </row>
    <row r="26" spans="1:9" x14ac:dyDescent="0.25">
      <c r="A26" t="s">
        <v>147</v>
      </c>
      <c r="B26" t="s">
        <v>148</v>
      </c>
      <c r="C26" t="s">
        <v>224</v>
      </c>
      <c r="D26" s="1">
        <f>VLOOKUP(A26,'ADM Data'!$A$2:$V$50,22,FALSE)</f>
        <v>767.104375</v>
      </c>
      <c r="E26" s="1">
        <f>VLOOKUP(A26,'ADM Data'!$A$2:$W$50,23,FALSE)</f>
        <v>49.070776000000002</v>
      </c>
      <c r="F26" s="1">
        <f>VLOOKUP(A26,'ADM Data'!$A$2:$X$50,24,FALSE)</f>
        <v>294.855098</v>
      </c>
      <c r="G26" s="1">
        <f>VLOOKUP(A26,'ADM Data'!$A$2:$Y$50,25,FALSE)</f>
        <v>1010.2053550000001</v>
      </c>
      <c r="H26" s="1">
        <f t="shared" si="0"/>
        <v>55.5</v>
      </c>
      <c r="I26" s="1">
        <f>VLOOKUP(A26,'ADM Data'!$A$2:$U$50,21,FALSE)</f>
        <v>1111.0302489999999</v>
      </c>
    </row>
    <row r="27" spans="1:9" x14ac:dyDescent="0.25">
      <c r="A27" t="s">
        <v>149</v>
      </c>
      <c r="B27" t="s">
        <v>150</v>
      </c>
      <c r="C27" t="s">
        <v>225</v>
      </c>
      <c r="D27" s="1">
        <f>VLOOKUP(A27,'ADM Data'!$A$2:$V$50,22,FALSE)</f>
        <v>1875.512101</v>
      </c>
      <c r="E27" s="1">
        <f>VLOOKUP(A27,'ADM Data'!$A$2:$W$50,23,FALSE)</f>
        <v>53.558776000000002</v>
      </c>
      <c r="F27" s="1">
        <f>VLOOKUP(A27,'ADM Data'!$A$2:$X$50,24,FALSE)</f>
        <v>256.79159299999998</v>
      </c>
      <c r="G27" s="1">
        <f>VLOOKUP(A27,'ADM Data'!$A$2:$Y$50,25,FALSE)</f>
        <v>2066.3369819999998</v>
      </c>
      <c r="H27" s="1">
        <f t="shared" si="0"/>
        <v>115.85</v>
      </c>
      <c r="I27" s="1">
        <f>VLOOKUP(A27,'ADM Data'!$A$2:$U$50,21,FALSE)</f>
        <v>2185.86247</v>
      </c>
    </row>
    <row r="28" spans="1:9" x14ac:dyDescent="0.25">
      <c r="A28" t="s">
        <v>151</v>
      </c>
      <c r="B28" t="s">
        <v>152</v>
      </c>
      <c r="C28" t="s">
        <v>226</v>
      </c>
      <c r="D28" s="1">
        <f>VLOOKUP(A28,'ADM Data'!$A$2:$V$50,22,FALSE)</f>
        <v>336.03599300000002</v>
      </c>
      <c r="E28" s="1">
        <f>VLOOKUP(A28,'ADM Data'!$A$2:$W$50,23,FALSE)</f>
        <v>0.514042</v>
      </c>
      <c r="F28" s="1">
        <f>VLOOKUP(A28,'ADM Data'!$A$2:$X$50,24,FALSE)</f>
        <v>108.367243</v>
      </c>
      <c r="G28" s="1">
        <f>VLOOKUP(A28,'ADM Data'!$A$2:$Y$50,25,FALSE)</f>
        <v>444.25005700000003</v>
      </c>
      <c r="H28" s="1">
        <f t="shared" si="0"/>
        <v>22.7</v>
      </c>
      <c r="I28" s="1">
        <f>VLOOKUP(A28,'ADM Data'!$A$2:$U$50,21,FALSE)</f>
        <v>444.91727800000001</v>
      </c>
    </row>
    <row r="29" spans="1:9" x14ac:dyDescent="0.25">
      <c r="A29" t="s">
        <v>153</v>
      </c>
      <c r="B29" t="s">
        <v>154</v>
      </c>
      <c r="C29" t="s">
        <v>227</v>
      </c>
      <c r="D29" s="1">
        <f>VLOOKUP(A29,'ADM Data'!$A$2:$V$50,22,FALSE)</f>
        <v>440.001553</v>
      </c>
      <c r="E29" s="1">
        <f>VLOOKUP(A29,'ADM Data'!$A$2:$W$50,23,FALSE)</f>
        <v>0</v>
      </c>
      <c r="F29" s="1">
        <f>VLOOKUP(A29,'ADM Data'!$A$2:$X$50,24,FALSE)</f>
        <v>208.85330300000001</v>
      </c>
      <c r="G29" s="1">
        <f>VLOOKUP(A29,'ADM Data'!$A$2:$Y$50,25,FALSE)</f>
        <v>648.85485600000004</v>
      </c>
      <c r="H29" s="1">
        <f t="shared" si="0"/>
        <v>32.18</v>
      </c>
      <c r="I29" s="1">
        <f>VLOOKUP(A29,'ADM Data'!$A$2:$U$50,21,FALSE)</f>
        <v>648.85485600000004</v>
      </c>
    </row>
    <row r="30" spans="1:9" x14ac:dyDescent="0.25">
      <c r="A30" t="s">
        <v>155</v>
      </c>
      <c r="B30" t="s">
        <v>156</v>
      </c>
      <c r="C30" t="s">
        <v>228</v>
      </c>
      <c r="D30" s="1">
        <f>VLOOKUP(A30,'ADM Data'!$A$2:$V$50,22,FALSE)</f>
        <v>1103.3239369999999</v>
      </c>
      <c r="E30" s="1">
        <f>VLOOKUP(A30,'ADM Data'!$A$2:$W$50,23,FALSE)</f>
        <v>37.405051999999998</v>
      </c>
      <c r="F30" s="1">
        <f>VLOOKUP(A30,'ADM Data'!$A$2:$X$50,24,FALSE)</f>
        <v>260.59530000000001</v>
      </c>
      <c r="G30" s="1">
        <f>VLOOKUP(A30,'ADM Data'!$A$2:$Y$50,25,FALSE)</f>
        <v>1338.4100940000001</v>
      </c>
      <c r="H30" s="1">
        <f t="shared" si="0"/>
        <v>72.44</v>
      </c>
      <c r="I30" s="1">
        <f>VLOOKUP(A30,'ADM Data'!$A$2:$U$50,21,FALSE)</f>
        <v>1401.3242889999999</v>
      </c>
    </row>
    <row r="31" spans="1:9" x14ac:dyDescent="0.25">
      <c r="A31" t="s">
        <v>157</v>
      </c>
      <c r="B31" t="s">
        <v>158</v>
      </c>
      <c r="C31" t="s">
        <v>229</v>
      </c>
      <c r="D31" s="1">
        <f>VLOOKUP(A31,'ADM Data'!$A$2:$V$50,22,FALSE)</f>
        <v>848.65905299999997</v>
      </c>
      <c r="E31" s="1">
        <f>VLOOKUP(A31,'ADM Data'!$A$2:$W$50,23,FALSE)</f>
        <v>21.290476000000002</v>
      </c>
      <c r="F31" s="1">
        <f>VLOOKUP(A31,'ADM Data'!$A$2:$X$50,24,FALSE)</f>
        <v>240.56916100000001</v>
      </c>
      <c r="G31" s="1">
        <f>VLOOKUP(A31,'ADM Data'!$A$2:$Y$50,25,FALSE)</f>
        <v>1054.948805</v>
      </c>
      <c r="H31" s="1">
        <f t="shared" si="0"/>
        <v>56.91</v>
      </c>
      <c r="I31" s="1">
        <f>VLOOKUP(A31,'ADM Data'!$A$2:$U$50,21,FALSE)</f>
        <v>1110.5186900000001</v>
      </c>
    </row>
    <row r="32" spans="1:9" x14ac:dyDescent="0.25">
      <c r="A32" t="s">
        <v>159</v>
      </c>
      <c r="B32" t="s">
        <v>160</v>
      </c>
      <c r="C32" t="s">
        <v>230</v>
      </c>
      <c r="D32" s="1">
        <f>VLOOKUP(A32,'ADM Data'!$A$2:$V$50,22,FALSE)</f>
        <v>848.42899199999999</v>
      </c>
      <c r="E32" s="1">
        <f>VLOOKUP(A32,'ADM Data'!$A$2:$W$50,23,FALSE)</f>
        <v>18.499790000000001</v>
      </c>
      <c r="F32" s="1">
        <f>VLOOKUP(A32,'ADM Data'!$A$2:$X$50,24,FALSE)</f>
        <v>135.61182700000001</v>
      </c>
      <c r="G32" s="1">
        <f>VLOOKUP(A32,'ADM Data'!$A$2:$Y$50,25,FALSE)</f>
        <v>951.95670600000005</v>
      </c>
      <c r="H32" s="1">
        <f t="shared" si="0"/>
        <v>52.9</v>
      </c>
      <c r="I32" s="1">
        <f>VLOOKUP(A32,'ADM Data'!$A$2:$U$50,21,FALSE)</f>
        <v>1002.540609</v>
      </c>
    </row>
    <row r="33" spans="1:9" x14ac:dyDescent="0.25">
      <c r="A33" t="s">
        <v>161</v>
      </c>
      <c r="B33" t="s">
        <v>162</v>
      </c>
      <c r="C33" t="s">
        <v>231</v>
      </c>
      <c r="D33" s="1">
        <f>VLOOKUP(A33,'ADM Data'!$A$2:$V$50,22,FALSE)</f>
        <v>893.62739099999999</v>
      </c>
      <c r="E33" s="1">
        <f>VLOOKUP(A33,'ADM Data'!$A$2:$W$50,23,FALSE)</f>
        <v>99.109593000000004</v>
      </c>
      <c r="F33" s="1">
        <f>VLOOKUP(A33,'ADM Data'!$A$2:$X$50,24,FALSE)</f>
        <v>254.06269399999999</v>
      </c>
      <c r="G33" s="1">
        <f>VLOOKUP(A33,'ADM Data'!$A$2:$Y$50,25,FALSE)</f>
        <v>1094.017846</v>
      </c>
      <c r="H33" s="1">
        <f t="shared" si="0"/>
        <v>63.02</v>
      </c>
      <c r="I33" s="1">
        <f>VLOOKUP(A33,'ADM Data'!$A$2:$U$50,21,FALSE)</f>
        <v>1246.7996780000001</v>
      </c>
    </row>
    <row r="34" spans="1:9" x14ac:dyDescent="0.25">
      <c r="A34" t="s">
        <v>163</v>
      </c>
      <c r="B34" t="s">
        <v>164</v>
      </c>
      <c r="C34" t="s">
        <v>232</v>
      </c>
      <c r="D34" s="1">
        <f>VLOOKUP(A34,'ADM Data'!$A$2:$V$50,22,FALSE)</f>
        <v>557.137249</v>
      </c>
      <c r="E34" s="1">
        <f>VLOOKUP(A34,'ADM Data'!$A$2:$W$50,23,FALSE)</f>
        <v>14.565708000000001</v>
      </c>
      <c r="F34" s="1">
        <f>VLOOKUP(A34,'ADM Data'!$A$2:$X$50,24,FALSE)</f>
        <v>101.00377899999999</v>
      </c>
      <c r="G34" s="1">
        <f>VLOOKUP(A34,'ADM Data'!$A$2:$Y$50,25,FALSE)</f>
        <v>643.09736599999997</v>
      </c>
      <c r="H34" s="1">
        <f t="shared" si="0"/>
        <v>35.28</v>
      </c>
      <c r="I34" s="1">
        <f>VLOOKUP(A34,'ADM Data'!$A$2:$U$50,21,FALSE)</f>
        <v>672.70673599999998</v>
      </c>
    </row>
    <row r="35" spans="1:9" x14ac:dyDescent="0.25">
      <c r="A35" t="s">
        <v>165</v>
      </c>
      <c r="B35" t="s">
        <v>166</v>
      </c>
      <c r="C35" t="s">
        <v>233</v>
      </c>
      <c r="D35" s="1">
        <f>VLOOKUP(A35,'ADM Data'!$A$2:$V$50,22,FALSE)</f>
        <v>636.36371399999996</v>
      </c>
      <c r="E35" s="1">
        <f>VLOOKUP(A35,'ADM Data'!$A$2:$W$50,23,FALSE)</f>
        <v>21.547708</v>
      </c>
      <c r="F35" s="1">
        <f>VLOOKUP(A35,'ADM Data'!$A$2:$X$50,24,FALSE)</f>
        <v>164.293588</v>
      </c>
      <c r="G35" s="1">
        <f>VLOOKUP(A35,'ADM Data'!$A$2:$Y$50,25,FALSE)</f>
        <v>794.68826000000001</v>
      </c>
      <c r="H35" s="1">
        <f t="shared" ref="H35:H51" si="1">ROUND((D35/18)+(E35/25)+(F35/27),2)</f>
        <v>42.3</v>
      </c>
      <c r="I35" s="1">
        <f>VLOOKUP(A35,'ADM Data'!$A$2:$U$50,21,FALSE)</f>
        <v>822.2050099999999</v>
      </c>
    </row>
    <row r="36" spans="1:9" x14ac:dyDescent="0.25">
      <c r="A36" t="s">
        <v>167</v>
      </c>
      <c r="B36" t="s">
        <v>168</v>
      </c>
      <c r="C36" t="s">
        <v>234</v>
      </c>
      <c r="D36" s="1">
        <f>VLOOKUP(A36,'ADM Data'!$A$2:$V$50,22,FALSE)</f>
        <v>511.164446</v>
      </c>
      <c r="E36" s="1">
        <f>VLOOKUP(A36,'ADM Data'!$A$2:$W$50,23,FALSE)</f>
        <v>0</v>
      </c>
      <c r="F36" s="1">
        <f>VLOOKUP(A36,'ADM Data'!$A$2:$X$50,24,FALSE)</f>
        <v>84.250528000000003</v>
      </c>
      <c r="G36" s="1">
        <f>VLOOKUP(A36,'ADM Data'!$A$2:$Y$50,25,FALSE)</f>
        <v>595.41497400000003</v>
      </c>
      <c r="H36" s="1">
        <f t="shared" si="1"/>
        <v>31.52</v>
      </c>
      <c r="I36" s="1">
        <f>VLOOKUP(A36,'ADM Data'!$A$2:$U$50,21,FALSE)</f>
        <v>595.41497400000003</v>
      </c>
    </row>
    <row r="37" spans="1:9" x14ac:dyDescent="0.25">
      <c r="A37" t="s">
        <v>169</v>
      </c>
      <c r="B37" t="s">
        <v>170</v>
      </c>
      <c r="C37" t="s">
        <v>235</v>
      </c>
      <c r="D37" s="1">
        <f>VLOOKUP(A37,'ADM Data'!$A$2:$V$50,22,FALSE)</f>
        <v>857.68880100000001</v>
      </c>
      <c r="E37" s="1">
        <f>VLOOKUP(A37,'ADM Data'!$A$2:$W$50,23,FALSE)</f>
        <v>0</v>
      </c>
      <c r="F37" s="1">
        <f>VLOOKUP(A37,'ADM Data'!$A$2:$X$50,24,FALSE)</f>
        <v>159.36479499999999</v>
      </c>
      <c r="G37" s="1">
        <f>VLOOKUP(A37,'ADM Data'!$A$2:$Y$50,25,FALSE)</f>
        <v>1017.053596</v>
      </c>
      <c r="H37" s="1">
        <f t="shared" si="1"/>
        <v>53.55</v>
      </c>
      <c r="I37" s="1">
        <f>VLOOKUP(A37,'ADM Data'!$A$2:$U$50,21,FALSE)</f>
        <v>1017.053596</v>
      </c>
    </row>
    <row r="38" spans="1:9" x14ac:dyDescent="0.25">
      <c r="A38" t="s">
        <v>171</v>
      </c>
      <c r="B38" t="s">
        <v>172</v>
      </c>
      <c r="C38" t="s">
        <v>236</v>
      </c>
      <c r="D38" s="1">
        <f>VLOOKUP(A38,'ADM Data'!$A$2:$V$50,22,FALSE)</f>
        <v>701.95309299999997</v>
      </c>
      <c r="E38" s="1">
        <f>VLOOKUP(A38,'ADM Data'!$A$2:$W$50,23,FALSE)</f>
        <v>3.8365809999999998</v>
      </c>
      <c r="F38" s="1">
        <f>VLOOKUP(A38,'ADM Data'!$A$2:$X$50,24,FALSE)</f>
        <v>249.10664600000001</v>
      </c>
      <c r="G38" s="1">
        <f>VLOOKUP(A38,'ADM Data'!$A$2:$Y$50,25,FALSE)</f>
        <v>946.83580400000005</v>
      </c>
      <c r="H38" s="1">
        <f t="shared" si="1"/>
        <v>48.38</v>
      </c>
      <c r="I38" s="1">
        <f>VLOOKUP(A38,'ADM Data'!$A$2:$U$50,21,FALSE)</f>
        <v>954.89631999999995</v>
      </c>
    </row>
    <row r="39" spans="1:9" x14ac:dyDescent="0.25">
      <c r="A39" t="s">
        <v>173</v>
      </c>
      <c r="B39" t="s">
        <v>174</v>
      </c>
      <c r="C39" t="s">
        <v>237</v>
      </c>
      <c r="D39" s="1">
        <f>VLOOKUP(A39,'ADM Data'!$A$2:$V$50,22,FALSE)</f>
        <v>463.33531799999997</v>
      </c>
      <c r="E39" s="1">
        <f>VLOOKUP(A39,'ADM Data'!$A$2:$W$50,23,FALSE)</f>
        <v>0</v>
      </c>
      <c r="F39" s="1">
        <f>VLOOKUP(A39,'ADM Data'!$A$2:$X$50,24,FALSE)</f>
        <v>62.459774000000003</v>
      </c>
      <c r="G39" s="1">
        <f>VLOOKUP(A39,'ADM Data'!$A$2:$Y$50,25,FALSE)</f>
        <v>525.79509199999995</v>
      </c>
      <c r="H39" s="1">
        <f t="shared" si="1"/>
        <v>28.05</v>
      </c>
      <c r="I39" s="1">
        <f>VLOOKUP(A39,'ADM Data'!$A$2:$U$50,21,FALSE)</f>
        <v>525.79509199999995</v>
      </c>
    </row>
    <row r="40" spans="1:9" x14ac:dyDescent="0.25">
      <c r="A40" t="s">
        <v>175</v>
      </c>
      <c r="B40" t="s">
        <v>176</v>
      </c>
      <c r="C40" t="s">
        <v>238</v>
      </c>
      <c r="D40" s="1">
        <f>VLOOKUP(A40,'ADM Data'!$A$2:$V$50,22,FALSE)</f>
        <v>381.41821199999998</v>
      </c>
      <c r="E40" s="1">
        <f>VLOOKUP(A40,'ADM Data'!$A$2:$W$50,23,FALSE)</f>
        <v>0</v>
      </c>
      <c r="F40" s="1">
        <f>VLOOKUP(A40,'ADM Data'!$A$2:$X$50,24,FALSE)</f>
        <v>136.30357599999999</v>
      </c>
      <c r="G40" s="1">
        <f>VLOOKUP(A40,'ADM Data'!$A$2:$Y$50,25,FALSE)</f>
        <v>517.72178799999995</v>
      </c>
      <c r="H40" s="1">
        <f t="shared" si="1"/>
        <v>26.24</v>
      </c>
      <c r="I40" s="1">
        <f>VLOOKUP(A40,'ADM Data'!$A$2:$U$50,21,FALSE)</f>
        <v>517.72178799999995</v>
      </c>
    </row>
    <row r="41" spans="1:9" x14ac:dyDescent="0.25">
      <c r="A41" t="s">
        <v>177</v>
      </c>
      <c r="B41" t="s">
        <v>178</v>
      </c>
      <c r="C41" t="s">
        <v>239</v>
      </c>
      <c r="D41" s="1">
        <f>VLOOKUP(A41,'ADM Data'!$A$2:$V$50,22,FALSE)</f>
        <v>561.98149000000001</v>
      </c>
      <c r="E41" s="1">
        <f>VLOOKUP(A41,'ADM Data'!$A$2:$W$50,23,FALSE)</f>
        <v>3.03579</v>
      </c>
      <c r="F41" s="1">
        <f>VLOOKUP(A41,'ADM Data'!$A$2:$X$50,24,FALSE)</f>
        <v>174.92929599999999</v>
      </c>
      <c r="G41" s="1">
        <f>VLOOKUP(A41,'ADM Data'!$A$2:$Y$50,25,FALSE)</f>
        <v>736.319886</v>
      </c>
      <c r="H41" s="1">
        <f t="shared" si="1"/>
        <v>37.82</v>
      </c>
      <c r="I41" s="1">
        <f>VLOOKUP(A41,'ADM Data'!$A$2:$U$50,21,FALSE)</f>
        <v>739.94657600000005</v>
      </c>
    </row>
    <row r="42" spans="1:9" x14ac:dyDescent="0.25">
      <c r="A42" t="s">
        <v>179</v>
      </c>
      <c r="B42" t="s">
        <v>180</v>
      </c>
      <c r="C42" t="s">
        <v>240</v>
      </c>
      <c r="D42" s="1">
        <f>VLOOKUP(A42,'ADM Data'!$A$2:$V$50,22,FALSE)</f>
        <v>519.83637499999998</v>
      </c>
      <c r="E42" s="1">
        <f>VLOOKUP(A42,'ADM Data'!$A$2:$W$50,23,FALSE)</f>
        <v>0</v>
      </c>
      <c r="F42" s="1">
        <f>VLOOKUP(A42,'ADM Data'!$A$2:$X$50,24,FALSE)</f>
        <v>268.23809399999999</v>
      </c>
      <c r="G42" s="1">
        <f>VLOOKUP(A42,'ADM Data'!$A$2:$Y$50,25,FALSE)</f>
        <v>788.07446900000002</v>
      </c>
      <c r="H42" s="1">
        <f t="shared" si="1"/>
        <v>38.81</v>
      </c>
      <c r="I42" s="1">
        <f>VLOOKUP(A42,'ADM Data'!$A$2:$U$50,21,FALSE)</f>
        <v>788.07446899999991</v>
      </c>
    </row>
    <row r="43" spans="1:9" x14ac:dyDescent="0.25">
      <c r="A43" t="s">
        <v>181</v>
      </c>
      <c r="B43" t="s">
        <v>182</v>
      </c>
      <c r="C43" t="s">
        <v>241</v>
      </c>
      <c r="D43" s="1">
        <f>VLOOKUP(A43,'ADM Data'!$A$2:$V$50,22,FALSE)</f>
        <v>368.68884400000002</v>
      </c>
      <c r="E43" s="1">
        <f>VLOOKUP(A43,'ADM Data'!$A$2:$W$50,23,FALSE)</f>
        <v>5.6674499999999997</v>
      </c>
      <c r="F43" s="1">
        <f>VLOOKUP(A43,'ADM Data'!$A$2:$X$50,24,FALSE)</f>
        <v>145.29585</v>
      </c>
      <c r="G43" s="1">
        <f>VLOOKUP(A43,'ADM Data'!$A$2:$Y$50,25,FALSE)</f>
        <v>508.48355700000002</v>
      </c>
      <c r="H43" s="1">
        <f t="shared" si="1"/>
        <v>26.09</v>
      </c>
      <c r="I43" s="1">
        <f>VLOOKUP(A43,'ADM Data'!$A$2:$U$50,21,FALSE)</f>
        <v>519.65214400000002</v>
      </c>
    </row>
    <row r="44" spans="1:9" x14ac:dyDescent="0.25">
      <c r="A44" t="s">
        <v>183</v>
      </c>
      <c r="B44" t="s">
        <v>184</v>
      </c>
      <c r="C44" t="s">
        <v>242</v>
      </c>
      <c r="D44" s="1">
        <f>VLOOKUP(A44,'ADM Data'!$A$2:$V$50,22,FALSE)</f>
        <v>481.64529499999998</v>
      </c>
      <c r="E44" s="1">
        <f>VLOOKUP(A44,'ADM Data'!$A$2:$W$50,23,FALSE)</f>
        <v>5.4250400000000001</v>
      </c>
      <c r="F44" s="1">
        <f>VLOOKUP(A44,'ADM Data'!$A$2:$X$50,24,FALSE)</f>
        <v>245.00443100000001</v>
      </c>
      <c r="G44" s="1">
        <f>VLOOKUP(A44,'ADM Data'!$A$2:$Y$50,25,FALSE)</f>
        <v>710.38003300000003</v>
      </c>
      <c r="H44" s="1">
        <f t="shared" si="1"/>
        <v>36.049999999999997</v>
      </c>
      <c r="I44" s="1">
        <f>VLOOKUP(A44,'ADM Data'!$A$2:$U$50,21,FALSE)</f>
        <v>732.07476599999995</v>
      </c>
    </row>
    <row r="45" spans="1:9" x14ac:dyDescent="0.25">
      <c r="A45" t="s">
        <v>185</v>
      </c>
      <c r="B45" t="s">
        <v>186</v>
      </c>
      <c r="C45" t="s">
        <v>243</v>
      </c>
      <c r="D45" s="1">
        <f>VLOOKUP(A45,'ADM Data'!$A$2:$V$50,22,FALSE)</f>
        <v>635.36999300000002</v>
      </c>
      <c r="E45" s="1">
        <f>VLOOKUP(A45,'ADM Data'!$A$2:$W$50,23,FALSE)</f>
        <v>158.62125599999999</v>
      </c>
      <c r="F45" s="1">
        <f>VLOOKUP(A45,'ADM Data'!$A$2:$X$50,24,FALSE)</f>
        <v>393.27289400000001</v>
      </c>
      <c r="G45" s="1">
        <f>VLOOKUP(A45,'ADM Data'!$A$2:$Y$50,25,FALSE)</f>
        <v>1028.642887</v>
      </c>
      <c r="H45" s="1">
        <f t="shared" si="1"/>
        <v>56.21</v>
      </c>
      <c r="I45" s="1">
        <f>VLOOKUP(A45,'ADM Data'!$A$2:$U$50,21,FALSE)</f>
        <v>1187.2641430000001</v>
      </c>
    </row>
    <row r="46" spans="1:9" x14ac:dyDescent="0.25">
      <c r="A46" t="s">
        <v>187</v>
      </c>
      <c r="B46" t="s">
        <v>188</v>
      </c>
      <c r="C46" t="s">
        <v>244</v>
      </c>
      <c r="D46" s="1">
        <f>VLOOKUP(A46,'ADM Data'!$A$2:$V$50,22,FALSE)</f>
        <v>1090.531718</v>
      </c>
      <c r="E46" s="1">
        <f>VLOOKUP(A46,'ADM Data'!$A$2:$W$50,23,FALSE)</f>
        <v>51.877249999999997</v>
      </c>
      <c r="F46" s="1">
        <f>VLOOKUP(A46,'ADM Data'!$A$2:$X$50,24,FALSE)</f>
        <v>306.64676900000001</v>
      </c>
      <c r="G46" s="1">
        <f>VLOOKUP(A46,'ADM Data'!$A$2:$Y$50,25,FALSE)</f>
        <v>1337.320665</v>
      </c>
      <c r="H46" s="1">
        <f t="shared" si="1"/>
        <v>74.02</v>
      </c>
      <c r="I46" s="1">
        <f>VLOOKUP(A46,'ADM Data'!$A$2:$U$50,21,FALSE)</f>
        <v>1449.0557369999999</v>
      </c>
    </row>
    <row r="47" spans="1:9" x14ac:dyDescent="0.25">
      <c r="A47" t="s">
        <v>189</v>
      </c>
      <c r="B47" t="s">
        <v>190</v>
      </c>
      <c r="C47" t="s">
        <v>245</v>
      </c>
      <c r="D47" s="1">
        <f>VLOOKUP(A47,'ADM Data'!$A$2:$V$50,22,FALSE)</f>
        <v>367.37020100000001</v>
      </c>
      <c r="E47" s="1">
        <f>VLOOKUP(A47,'ADM Data'!$A$2:$W$50,23,FALSE)</f>
        <v>26.879842</v>
      </c>
      <c r="F47" s="1">
        <f>VLOOKUP(A47,'ADM Data'!$A$2:$X$50,24,FALSE)</f>
        <v>82.438704999999999</v>
      </c>
      <c r="G47" s="1">
        <f>VLOOKUP(A47,'ADM Data'!$A$2:$Y$50,25,FALSE)</f>
        <v>439.349221</v>
      </c>
      <c r="H47" s="1">
        <f t="shared" si="1"/>
        <v>24.54</v>
      </c>
      <c r="I47" s="1">
        <f>VLOOKUP(A47,'ADM Data'!$A$2:$U$50,21,FALSE)</f>
        <v>476.68874799999998</v>
      </c>
    </row>
    <row r="48" spans="1:9" x14ac:dyDescent="0.25">
      <c r="A48" t="s">
        <v>191</v>
      </c>
      <c r="B48" t="s">
        <v>192</v>
      </c>
      <c r="C48" t="s">
        <v>246</v>
      </c>
      <c r="D48" s="1">
        <f>VLOOKUP(A48,'ADM Data'!$A$2:$V$50,22,FALSE)</f>
        <v>255.34215733333329</v>
      </c>
      <c r="E48" s="1">
        <f>VLOOKUP(A48,'ADM Data'!$A$2:$W$50,23,FALSE)</f>
        <v>0</v>
      </c>
      <c r="F48" s="1">
        <f>VLOOKUP(A48,'ADM Data'!$A$2:$X$50,24,FALSE)</f>
        <v>83.136579999999995</v>
      </c>
      <c r="G48" s="1">
        <f>VLOOKUP(A48,'ADM Data'!$A$2:$Y$50,25,FALSE)</f>
        <v>338.47873733333341</v>
      </c>
      <c r="H48" s="1">
        <f t="shared" si="1"/>
        <v>17.260000000000002</v>
      </c>
      <c r="I48" s="1">
        <f>VLOOKUP(A48,'ADM Data'!$A$2:$U$50,21,FALSE)</f>
        <v>338.47873733333341</v>
      </c>
    </row>
    <row r="49" spans="1:10" x14ac:dyDescent="0.25">
      <c r="A49" t="s">
        <v>193</v>
      </c>
      <c r="B49" t="s">
        <v>194</v>
      </c>
      <c r="C49" t="s">
        <v>247</v>
      </c>
      <c r="D49" s="1">
        <f>VLOOKUP(A49,'ADM Data'!$A$2:$V$50,22,FALSE)</f>
        <v>742.87078299999996</v>
      </c>
      <c r="E49" s="1">
        <f>VLOOKUP(A49,'ADM Data'!$A$2:$W$50,23,FALSE)</f>
        <v>46.228091999999997</v>
      </c>
      <c r="F49" s="1">
        <f>VLOOKUP(A49,'ADM Data'!$A$2:$X$50,24,FALSE)</f>
        <v>147.86289500000001</v>
      </c>
      <c r="G49" s="1">
        <f>VLOOKUP(A49,'ADM Data'!$A$2:$Y$50,25,FALSE)</f>
        <v>834.20081000000005</v>
      </c>
      <c r="H49" s="1">
        <f t="shared" si="1"/>
        <v>48.6</v>
      </c>
      <c r="I49" s="1">
        <f>VLOOKUP(A49,'ADM Data'!$A$2:$U$50,21,FALSE)</f>
        <v>936.96177</v>
      </c>
    </row>
    <row r="50" spans="1:10" x14ac:dyDescent="0.25">
      <c r="A50" t="s">
        <v>195</v>
      </c>
      <c r="B50" t="s">
        <v>196</v>
      </c>
      <c r="C50" t="s">
        <v>248</v>
      </c>
      <c r="D50" s="1">
        <f>VLOOKUP(A50,'ADM Data'!$A$2:$V$50,22,FALSE)</f>
        <v>179.799993</v>
      </c>
      <c r="E50" s="1">
        <f>VLOOKUP(A50,'ADM Data'!$A$2:$W$50,23,FALSE)</f>
        <v>0</v>
      </c>
      <c r="F50" s="1">
        <f>VLOOKUP(A50,'ADM Data'!$A$2:$X$50,24,FALSE)</f>
        <v>67.288700000000006</v>
      </c>
      <c r="G50" s="1">
        <f>VLOOKUP(A50,'ADM Data'!$A$2:$Y$50,25,FALSE)</f>
        <v>247.08869300000001</v>
      </c>
      <c r="H50" s="1">
        <f t="shared" si="1"/>
        <v>12.48</v>
      </c>
      <c r="I50" s="1">
        <f>VLOOKUP(A50,'ADM Data'!$A$2:$U$50,21,FALSE)</f>
        <v>247.08869300000001</v>
      </c>
    </row>
    <row r="51" spans="1:10" x14ac:dyDescent="0.25">
      <c r="A51" t="s">
        <v>197</v>
      </c>
      <c r="B51" t="s">
        <v>198</v>
      </c>
      <c r="C51" t="s">
        <v>249</v>
      </c>
      <c r="D51" s="1">
        <f>VLOOKUP(A51,'ADM Data'!$A$2:$V$50,22,FALSE)</f>
        <v>454.15168699999998</v>
      </c>
      <c r="E51" s="1">
        <f>VLOOKUP(A51,'ADM Data'!$A$2:$W$50,23,FALSE)</f>
        <v>0</v>
      </c>
      <c r="F51" s="1">
        <f>VLOOKUP(A51,'ADM Data'!$A$2:$X$50,24,FALSE)</f>
        <v>153.08092300000001</v>
      </c>
      <c r="G51" s="1">
        <f>VLOOKUP(A51,'ADM Data'!$A$2:$Y$50,25,FALSE)</f>
        <v>607.23261000000002</v>
      </c>
      <c r="H51" s="1">
        <f t="shared" si="1"/>
        <v>30.9</v>
      </c>
      <c r="I51" s="1">
        <f>VLOOKUP(A51,'ADM Data'!$A$2:$U$50,21,FALSE)</f>
        <v>607.23261000000002</v>
      </c>
    </row>
    <row r="52" spans="1:10" x14ac:dyDescent="0.25">
      <c r="B52" t="s">
        <v>250</v>
      </c>
      <c r="D52" s="1">
        <f t="shared" ref="D52:I52" si="2">SUM(D3:D51)</f>
        <v>38135.719668333324</v>
      </c>
      <c r="E52" s="1">
        <f t="shared" si="2"/>
        <v>1636.7299669999998</v>
      </c>
      <c r="F52" s="1">
        <f t="shared" si="2"/>
        <v>9458.4655150000017</v>
      </c>
      <c r="G52" s="1">
        <f t="shared" si="2"/>
        <v>46310.908782333332</v>
      </c>
      <c r="H52" s="1">
        <f t="shared" si="2"/>
        <v>2534.4300000000007</v>
      </c>
      <c r="I52" s="1">
        <f t="shared" si="2"/>
        <v>49230.915150333334</v>
      </c>
      <c r="J52" s="1"/>
    </row>
  </sheetData>
  <autoFilter ref="A2:AN2" xr:uid="{00000000-0001-0000-0000-000000000000}">
    <sortState xmlns:xlrd2="http://schemas.microsoft.com/office/spreadsheetml/2017/richdata2" ref="A3:AN52">
      <sortCondition ref="A2"/>
    </sortState>
  </autoFilter>
  <phoneticPr fontId="18"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CA7B9-03DF-40BC-B662-A90FFC455C73}">
  <dimension ref="A2:H52"/>
  <sheetViews>
    <sheetView workbookViewId="0">
      <pane ySplit="2" topLeftCell="A3" activePane="bottomLeft" state="frozen"/>
      <selection pane="bottomLeft" activeCell="K18" sqref="K18"/>
    </sheetView>
  </sheetViews>
  <sheetFormatPr defaultRowHeight="15" x14ac:dyDescent="0.25"/>
  <cols>
    <col min="1" max="1" width="7.5703125" bestFit="1" customWidth="1"/>
    <col min="2" max="2" width="46" bestFit="1" customWidth="1"/>
    <col min="3" max="3" width="15" customWidth="1"/>
    <col min="4" max="4" width="13.42578125" bestFit="1" customWidth="1"/>
    <col min="5" max="5" width="17.5703125" bestFit="1" customWidth="1"/>
    <col min="6" max="6" width="13.7109375" bestFit="1" customWidth="1"/>
    <col min="7" max="7" width="14.7109375" bestFit="1" customWidth="1"/>
    <col min="8" max="8" width="12.5703125" bestFit="1" customWidth="1"/>
  </cols>
  <sheetData>
    <row r="2" spans="1:8" s="27" customFormat="1" ht="60" x14ac:dyDescent="0.25">
      <c r="A2" s="72" t="s">
        <v>93</v>
      </c>
      <c r="B2" s="3" t="s">
        <v>940</v>
      </c>
      <c r="C2" s="72" t="s">
        <v>95</v>
      </c>
      <c r="D2" s="14" t="s">
        <v>96</v>
      </c>
      <c r="E2" s="35" t="s">
        <v>97</v>
      </c>
      <c r="F2" s="14" t="s">
        <v>98</v>
      </c>
      <c r="G2" s="71" t="s">
        <v>99</v>
      </c>
      <c r="H2" s="14" t="s">
        <v>100</v>
      </c>
    </row>
    <row r="3" spans="1:8" x14ac:dyDescent="0.25">
      <c r="A3" t="s">
        <v>101</v>
      </c>
      <c r="B3" t="s">
        <v>102</v>
      </c>
      <c r="D3">
        <v>1044.5614579999999</v>
      </c>
      <c r="E3">
        <v>847.747703</v>
      </c>
      <c r="F3">
        <v>12.947825999999999</v>
      </c>
      <c r="G3">
        <v>183.86592899999999</v>
      </c>
      <c r="H3">
        <v>1021.629404</v>
      </c>
    </row>
    <row r="4" spans="1:8" x14ac:dyDescent="0.25">
      <c r="A4" t="s">
        <v>103</v>
      </c>
      <c r="B4" t="s">
        <v>104</v>
      </c>
      <c r="D4">
        <v>588.02537333333328</v>
      </c>
      <c r="E4">
        <v>473.08124066666659</v>
      </c>
      <c r="F4">
        <v>28.52856233333334</v>
      </c>
      <c r="G4">
        <v>86.415570333333335</v>
      </c>
      <c r="H4">
        <v>486.70592133333338</v>
      </c>
    </row>
    <row r="5" spans="1:8" x14ac:dyDescent="0.25">
      <c r="A5" t="s">
        <v>105</v>
      </c>
      <c r="B5" t="s">
        <v>106</v>
      </c>
      <c r="D5">
        <v>716.72773299999994</v>
      </c>
      <c r="E5">
        <v>524.82578999999998</v>
      </c>
      <c r="F5">
        <v>24.027562</v>
      </c>
      <c r="G5">
        <v>167.874381</v>
      </c>
      <c r="H5">
        <v>668.601722</v>
      </c>
    </row>
    <row r="6" spans="1:8" x14ac:dyDescent="0.25">
      <c r="A6" t="s">
        <v>107</v>
      </c>
      <c r="B6" t="s">
        <v>108</v>
      </c>
      <c r="D6">
        <v>462.05092999999999</v>
      </c>
      <c r="E6">
        <v>401.665324</v>
      </c>
      <c r="F6">
        <v>11.873775</v>
      </c>
      <c r="G6">
        <v>48.511831000000001</v>
      </c>
      <c r="H6">
        <v>439.354536</v>
      </c>
    </row>
    <row r="7" spans="1:8" x14ac:dyDescent="0.25">
      <c r="A7" t="s">
        <v>109</v>
      </c>
      <c r="B7" t="s">
        <v>110</v>
      </c>
      <c r="D7">
        <v>3819.3746683333329</v>
      </c>
      <c r="E7">
        <v>2933.734766333333</v>
      </c>
      <c r="F7">
        <v>211.522097</v>
      </c>
      <c r="G7">
        <v>674.11780499999998</v>
      </c>
      <c r="H7">
        <v>3360.008053333333</v>
      </c>
    </row>
    <row r="8" spans="1:8" x14ac:dyDescent="0.25">
      <c r="A8" t="s">
        <v>111</v>
      </c>
      <c r="B8" t="s">
        <v>112</v>
      </c>
      <c r="D8">
        <v>311.17623500000002</v>
      </c>
      <c r="E8">
        <v>276.36656499999998</v>
      </c>
      <c r="F8">
        <v>0</v>
      </c>
      <c r="G8">
        <v>34.809669999999997</v>
      </c>
      <c r="H8">
        <v>311.17623500000002</v>
      </c>
    </row>
    <row r="9" spans="1:8" x14ac:dyDescent="0.25">
      <c r="A9" t="s">
        <v>113</v>
      </c>
      <c r="B9" t="s">
        <v>114</v>
      </c>
      <c r="D9">
        <v>396.188671</v>
      </c>
      <c r="E9">
        <v>382.32011599999998</v>
      </c>
      <c r="F9">
        <v>0</v>
      </c>
      <c r="G9">
        <v>13.868555000000001</v>
      </c>
      <c r="H9">
        <v>396.188671</v>
      </c>
    </row>
    <row r="10" spans="1:8" x14ac:dyDescent="0.25">
      <c r="A10" t="s">
        <v>115</v>
      </c>
      <c r="B10" t="s">
        <v>116</v>
      </c>
      <c r="D10">
        <v>677.61228699999992</v>
      </c>
      <c r="E10">
        <v>393.04278799999997</v>
      </c>
      <c r="F10">
        <v>77.402473999999998</v>
      </c>
      <c r="G10">
        <v>207.167025</v>
      </c>
      <c r="H10">
        <v>561.81947600000001</v>
      </c>
    </row>
    <row r="11" spans="1:8" x14ac:dyDescent="0.25">
      <c r="A11" t="s">
        <v>117</v>
      </c>
      <c r="B11" t="s">
        <v>118</v>
      </c>
      <c r="D11">
        <v>961.98555899999997</v>
      </c>
      <c r="E11">
        <v>769.04970700000001</v>
      </c>
      <c r="F11">
        <v>6.9594909999999999</v>
      </c>
      <c r="G11">
        <v>185.976361</v>
      </c>
      <c r="H11">
        <v>941.16646900000001</v>
      </c>
    </row>
    <row r="12" spans="1:8" x14ac:dyDescent="0.25">
      <c r="A12" t="s">
        <v>119</v>
      </c>
      <c r="B12" t="s">
        <v>120</v>
      </c>
      <c r="D12">
        <v>801.454612</v>
      </c>
      <c r="E12">
        <v>666.83363399999996</v>
      </c>
      <c r="F12">
        <v>27.314703000000002</v>
      </c>
      <c r="G12">
        <v>107.306275</v>
      </c>
      <c r="H12">
        <v>746.28545999999994</v>
      </c>
    </row>
    <row r="13" spans="1:8" x14ac:dyDescent="0.25">
      <c r="A13" t="s">
        <v>121</v>
      </c>
      <c r="B13" t="s">
        <v>122</v>
      </c>
      <c r="D13">
        <v>1460.4434189999999</v>
      </c>
      <c r="E13">
        <v>997.132518</v>
      </c>
      <c r="F13">
        <v>52.681994000000003</v>
      </c>
      <c r="G13">
        <v>410.62890700000003</v>
      </c>
      <c r="H13">
        <v>1392.6184040000001</v>
      </c>
    </row>
    <row r="14" spans="1:8" x14ac:dyDescent="0.25">
      <c r="A14" t="s">
        <v>123</v>
      </c>
      <c r="B14" t="s">
        <v>124</v>
      </c>
      <c r="D14">
        <v>803.35614099999998</v>
      </c>
      <c r="E14">
        <v>677.61676199999999</v>
      </c>
      <c r="F14">
        <v>0</v>
      </c>
      <c r="G14">
        <v>125.739379</v>
      </c>
      <c r="H14">
        <v>803.35614099999998</v>
      </c>
    </row>
    <row r="15" spans="1:8" x14ac:dyDescent="0.25">
      <c r="A15" t="s">
        <v>125</v>
      </c>
      <c r="B15" t="s">
        <v>126</v>
      </c>
      <c r="D15">
        <v>1169.1546559999999</v>
      </c>
      <c r="E15">
        <v>914.766074</v>
      </c>
      <c r="F15">
        <v>55.391466999999999</v>
      </c>
      <c r="G15">
        <v>198.99711500000001</v>
      </c>
      <c r="H15">
        <v>1040.172176</v>
      </c>
    </row>
    <row r="16" spans="1:8" x14ac:dyDescent="0.25">
      <c r="A16" t="s">
        <v>127</v>
      </c>
      <c r="B16" t="s">
        <v>128</v>
      </c>
      <c r="D16">
        <v>4207.0536259999999</v>
      </c>
      <c r="E16">
        <v>2817.7791910000001</v>
      </c>
      <c r="F16">
        <v>365.73159299999998</v>
      </c>
      <c r="G16">
        <v>1023.542842</v>
      </c>
      <c r="H16">
        <v>3620.934788</v>
      </c>
    </row>
    <row r="17" spans="1:8" x14ac:dyDescent="0.25">
      <c r="A17" t="s">
        <v>129</v>
      </c>
      <c r="B17" t="s">
        <v>130</v>
      </c>
      <c r="D17">
        <v>354.89708300000001</v>
      </c>
      <c r="E17">
        <v>265.83614899999998</v>
      </c>
      <c r="F17">
        <v>0</v>
      </c>
      <c r="G17">
        <v>89.060934000000003</v>
      </c>
      <c r="H17">
        <v>354.89708300000001</v>
      </c>
    </row>
    <row r="18" spans="1:8" x14ac:dyDescent="0.25">
      <c r="A18" t="s">
        <v>131</v>
      </c>
      <c r="B18" t="s">
        <v>132</v>
      </c>
      <c r="D18">
        <v>561.60314600000004</v>
      </c>
      <c r="E18">
        <v>447.860071</v>
      </c>
      <c r="F18">
        <v>0</v>
      </c>
      <c r="G18">
        <v>113.743075</v>
      </c>
      <c r="H18">
        <v>561.60314600000004</v>
      </c>
    </row>
    <row r="19" spans="1:8" x14ac:dyDescent="0.25">
      <c r="A19" t="s">
        <v>133</v>
      </c>
      <c r="B19" t="s">
        <v>134</v>
      </c>
      <c r="D19">
        <v>396.32538599999998</v>
      </c>
      <c r="E19">
        <v>362.11487099999999</v>
      </c>
      <c r="F19">
        <v>0</v>
      </c>
      <c r="G19">
        <v>34.210515000000001</v>
      </c>
      <c r="H19">
        <v>396.32538599999998</v>
      </c>
    </row>
    <row r="20" spans="1:8" x14ac:dyDescent="0.25">
      <c r="A20" t="s">
        <v>135</v>
      </c>
      <c r="B20" t="s">
        <v>136</v>
      </c>
      <c r="D20">
        <v>766.17604999999992</v>
      </c>
      <c r="E20">
        <v>689.16275299999995</v>
      </c>
      <c r="F20">
        <v>15.012919999999999</v>
      </c>
      <c r="G20">
        <v>62.000377</v>
      </c>
      <c r="H20">
        <v>733.77919699999995</v>
      </c>
    </row>
    <row r="21" spans="1:8" x14ac:dyDescent="0.25">
      <c r="A21" t="s">
        <v>137</v>
      </c>
      <c r="B21" t="s">
        <v>138</v>
      </c>
      <c r="D21">
        <v>960.81868599999996</v>
      </c>
      <c r="E21">
        <v>682.24420799999996</v>
      </c>
      <c r="F21">
        <v>57.356003000000001</v>
      </c>
      <c r="G21">
        <v>221.21847500000001</v>
      </c>
      <c r="H21">
        <v>837.497478</v>
      </c>
    </row>
    <row r="22" spans="1:8" x14ac:dyDescent="0.25">
      <c r="A22" t="s">
        <v>139</v>
      </c>
      <c r="B22" t="s">
        <v>140</v>
      </c>
      <c r="D22">
        <v>1302.906624</v>
      </c>
      <c r="E22">
        <v>1163.1635329999999</v>
      </c>
      <c r="F22">
        <v>3.2160000000000001E-3</v>
      </c>
      <c r="G22">
        <v>139.73987500000001</v>
      </c>
      <c r="H22">
        <v>1289.6854450000001</v>
      </c>
    </row>
    <row r="23" spans="1:8" x14ac:dyDescent="0.25">
      <c r="A23" t="s">
        <v>141</v>
      </c>
      <c r="B23" t="s">
        <v>142</v>
      </c>
      <c r="D23">
        <v>743.70987100000002</v>
      </c>
      <c r="E23">
        <v>632.26125200000001</v>
      </c>
      <c r="F23">
        <v>2.3451746666666669</v>
      </c>
      <c r="G23">
        <v>109.1034443333333</v>
      </c>
      <c r="H23">
        <v>739.73365933333332</v>
      </c>
    </row>
    <row r="24" spans="1:8" x14ac:dyDescent="0.25">
      <c r="A24" t="s">
        <v>143</v>
      </c>
      <c r="B24" t="s">
        <v>144</v>
      </c>
      <c r="D24">
        <v>2055.4382949999999</v>
      </c>
      <c r="E24">
        <v>1672.463148</v>
      </c>
      <c r="F24">
        <v>79.506303000000003</v>
      </c>
      <c r="G24">
        <v>303.46884399999999</v>
      </c>
      <c r="H24">
        <v>1929.557288</v>
      </c>
    </row>
    <row r="25" spans="1:8" x14ac:dyDescent="0.25">
      <c r="A25" t="s">
        <v>145</v>
      </c>
      <c r="B25" t="s">
        <v>146</v>
      </c>
      <c r="D25">
        <v>1114.7301199999999</v>
      </c>
      <c r="E25">
        <v>910.47036600000001</v>
      </c>
      <c r="F25">
        <v>12.360011</v>
      </c>
      <c r="G25">
        <v>191.899743</v>
      </c>
      <c r="H25">
        <v>1094.0801220000001</v>
      </c>
    </row>
    <row r="26" spans="1:8" x14ac:dyDescent="0.25">
      <c r="A26" t="s">
        <v>147</v>
      </c>
      <c r="B26" t="s">
        <v>148</v>
      </c>
      <c r="D26">
        <v>1028.5599099999999</v>
      </c>
      <c r="E26">
        <v>707.12063599999999</v>
      </c>
      <c r="F26">
        <v>56.124904000000001</v>
      </c>
      <c r="G26">
        <v>265.31437</v>
      </c>
      <c r="H26">
        <v>918.62791300000004</v>
      </c>
    </row>
    <row r="27" spans="1:8" x14ac:dyDescent="0.25">
      <c r="A27" t="s">
        <v>149</v>
      </c>
      <c r="B27" t="s">
        <v>150</v>
      </c>
      <c r="D27">
        <v>2121.0090380000001</v>
      </c>
      <c r="E27">
        <v>1766.904855</v>
      </c>
      <c r="F27">
        <v>60.469949</v>
      </c>
      <c r="G27">
        <v>293.63423399999999</v>
      </c>
      <c r="H27">
        <v>1991.3622769999999</v>
      </c>
    </row>
    <row r="28" spans="1:8" x14ac:dyDescent="0.25">
      <c r="A28" t="s">
        <v>151</v>
      </c>
      <c r="B28" t="s">
        <v>152</v>
      </c>
      <c r="D28">
        <v>439.0082743333333</v>
      </c>
      <c r="E28">
        <v>330.28135566666668</v>
      </c>
      <c r="F28">
        <v>1.433386</v>
      </c>
      <c r="G28">
        <v>107.29353266666671</v>
      </c>
      <c r="H28">
        <v>437.0958803333333</v>
      </c>
    </row>
    <row r="29" spans="1:8" x14ac:dyDescent="0.25">
      <c r="A29" t="s">
        <v>153</v>
      </c>
      <c r="B29" t="s">
        <v>154</v>
      </c>
      <c r="D29">
        <v>653.64715466666667</v>
      </c>
      <c r="E29">
        <v>443.20430166666671</v>
      </c>
      <c r="F29">
        <v>0</v>
      </c>
      <c r="G29">
        <v>210.44285300000001</v>
      </c>
      <c r="H29">
        <v>653.64715466666667</v>
      </c>
    </row>
    <row r="30" spans="1:8" x14ac:dyDescent="0.25">
      <c r="A30" t="s">
        <v>155</v>
      </c>
      <c r="B30" t="s">
        <v>156</v>
      </c>
      <c r="D30">
        <v>1321.543367</v>
      </c>
      <c r="E30">
        <v>1077.114491</v>
      </c>
      <c r="F30">
        <v>25.043513999999998</v>
      </c>
      <c r="G30">
        <v>219.38536199999999</v>
      </c>
      <c r="H30">
        <v>1264.260972</v>
      </c>
    </row>
    <row r="31" spans="1:8" x14ac:dyDescent="0.25">
      <c r="A31" t="s">
        <v>157</v>
      </c>
      <c r="B31" t="s">
        <v>158</v>
      </c>
      <c r="D31">
        <v>1064.5161129999999</v>
      </c>
      <c r="E31">
        <v>647.11802799999998</v>
      </c>
      <c r="F31">
        <v>32.540165999999999</v>
      </c>
      <c r="G31">
        <v>384.85791899999998</v>
      </c>
      <c r="H31">
        <v>1030.694082</v>
      </c>
    </row>
    <row r="32" spans="1:8" x14ac:dyDescent="0.25">
      <c r="A32" t="s">
        <v>159</v>
      </c>
      <c r="B32" t="s">
        <v>160</v>
      </c>
      <c r="D32">
        <v>810.26829400000008</v>
      </c>
      <c r="E32">
        <v>690.65128200000004</v>
      </c>
      <c r="F32">
        <v>13.814735000000001</v>
      </c>
      <c r="G32">
        <v>105.802277</v>
      </c>
      <c r="H32">
        <v>772.92604400000005</v>
      </c>
    </row>
    <row r="33" spans="1:8" x14ac:dyDescent="0.25">
      <c r="A33" t="s">
        <v>161</v>
      </c>
      <c r="B33" t="s">
        <v>162</v>
      </c>
      <c r="D33">
        <v>1138.349220666667</v>
      </c>
      <c r="E33">
        <v>881.83369600000003</v>
      </c>
      <c r="F33">
        <v>60.428135333333337</v>
      </c>
      <c r="G33">
        <v>196.08738933333331</v>
      </c>
      <c r="H33">
        <v>987.97603366666669</v>
      </c>
    </row>
    <row r="34" spans="1:8" x14ac:dyDescent="0.25">
      <c r="A34" t="s">
        <v>163</v>
      </c>
      <c r="B34" t="s">
        <v>164</v>
      </c>
      <c r="D34">
        <v>674.05467699999997</v>
      </c>
      <c r="E34">
        <v>360.792441</v>
      </c>
      <c r="F34">
        <v>30.429797000000001</v>
      </c>
      <c r="G34">
        <v>282.83243900000002</v>
      </c>
      <c r="H34">
        <v>624.96070999999995</v>
      </c>
    </row>
    <row r="35" spans="1:8" x14ac:dyDescent="0.25">
      <c r="A35" t="s">
        <v>165</v>
      </c>
      <c r="B35" t="s">
        <v>166</v>
      </c>
      <c r="D35">
        <v>701.42989999999998</v>
      </c>
      <c r="E35">
        <v>542.69723799999997</v>
      </c>
      <c r="F35">
        <v>10.847847</v>
      </c>
      <c r="G35">
        <v>147.884815</v>
      </c>
      <c r="H35">
        <v>683.30741399999999</v>
      </c>
    </row>
    <row r="36" spans="1:8" x14ac:dyDescent="0.25">
      <c r="A36" t="s">
        <v>167</v>
      </c>
      <c r="B36" t="s">
        <v>168</v>
      </c>
      <c r="D36">
        <v>551.16648499999997</v>
      </c>
      <c r="E36">
        <v>491.57568700000002</v>
      </c>
      <c r="F36">
        <v>0</v>
      </c>
      <c r="G36">
        <v>59.590797999999999</v>
      </c>
      <c r="H36">
        <v>551.16648499999997</v>
      </c>
    </row>
    <row r="37" spans="1:8" x14ac:dyDescent="0.25">
      <c r="A37" t="s">
        <v>169</v>
      </c>
      <c r="B37" t="s">
        <v>170</v>
      </c>
      <c r="D37">
        <v>923.17229399999997</v>
      </c>
      <c r="E37">
        <v>790.49343899999997</v>
      </c>
      <c r="F37">
        <v>0</v>
      </c>
      <c r="G37">
        <v>132.678855</v>
      </c>
      <c r="H37">
        <v>923.17229399999997</v>
      </c>
    </row>
    <row r="38" spans="1:8" x14ac:dyDescent="0.25">
      <c r="A38" t="s">
        <v>171</v>
      </c>
      <c r="B38" t="s">
        <v>172</v>
      </c>
      <c r="D38">
        <v>928.39625799999999</v>
      </c>
      <c r="E38">
        <v>674.74463200000002</v>
      </c>
      <c r="F38">
        <v>2.3004910000000001</v>
      </c>
      <c r="G38">
        <v>251.351135</v>
      </c>
      <c r="H38">
        <v>923.15131299999996</v>
      </c>
    </row>
    <row r="39" spans="1:8" x14ac:dyDescent="0.25">
      <c r="A39" t="s">
        <v>173</v>
      </c>
      <c r="B39" t="s">
        <v>174</v>
      </c>
      <c r="D39">
        <v>523.61888566666664</v>
      </c>
      <c r="E39">
        <v>456.48714033333329</v>
      </c>
      <c r="F39">
        <v>0</v>
      </c>
      <c r="G39">
        <v>67.131745333333342</v>
      </c>
      <c r="H39">
        <v>523.61888566666664</v>
      </c>
    </row>
    <row r="40" spans="1:8" x14ac:dyDescent="0.25">
      <c r="A40" t="s">
        <v>175</v>
      </c>
      <c r="B40" t="s">
        <v>176</v>
      </c>
      <c r="D40">
        <v>528.48040500000002</v>
      </c>
      <c r="E40">
        <v>384.32938200000001</v>
      </c>
      <c r="F40">
        <v>0</v>
      </c>
      <c r="G40">
        <v>144.15102300000001</v>
      </c>
      <c r="H40">
        <v>528.48040500000002</v>
      </c>
    </row>
    <row r="41" spans="1:8" x14ac:dyDescent="0.25">
      <c r="A41" t="s">
        <v>177</v>
      </c>
      <c r="B41" t="s">
        <v>178</v>
      </c>
      <c r="D41">
        <v>734.77663399999994</v>
      </c>
      <c r="E41">
        <v>534.46696899999995</v>
      </c>
      <c r="F41">
        <v>2.4744250000000001</v>
      </c>
      <c r="G41">
        <v>197.83524</v>
      </c>
      <c r="H41">
        <v>731.53403900000001</v>
      </c>
    </row>
    <row r="42" spans="1:8" x14ac:dyDescent="0.25">
      <c r="A42" t="s">
        <v>179</v>
      </c>
      <c r="B42" t="s">
        <v>180</v>
      </c>
      <c r="D42">
        <v>720.282647</v>
      </c>
      <c r="E42">
        <v>549.94018200000005</v>
      </c>
      <c r="F42">
        <v>0</v>
      </c>
      <c r="G42">
        <v>170.342465</v>
      </c>
      <c r="H42">
        <v>720.282647</v>
      </c>
    </row>
    <row r="43" spans="1:8" x14ac:dyDescent="0.25">
      <c r="A43" t="s">
        <v>181</v>
      </c>
      <c r="B43" t="s">
        <v>182</v>
      </c>
      <c r="D43">
        <v>482.57566200000002</v>
      </c>
      <c r="E43">
        <v>329.91939200000002</v>
      </c>
      <c r="F43">
        <v>6.8178289999999997</v>
      </c>
      <c r="G43">
        <v>145.83844099999999</v>
      </c>
      <c r="H43">
        <v>470.539221</v>
      </c>
    </row>
    <row r="44" spans="1:8" x14ac:dyDescent="0.25">
      <c r="A44" t="s">
        <v>183</v>
      </c>
      <c r="B44" t="s">
        <v>184</v>
      </c>
      <c r="D44">
        <v>687.92420399999992</v>
      </c>
      <c r="E44">
        <v>361.85753699999998</v>
      </c>
      <c r="F44">
        <v>5.8630420000000001</v>
      </c>
      <c r="G44">
        <v>320.20362499999999</v>
      </c>
      <c r="H44">
        <v>671.98180400000001</v>
      </c>
    </row>
    <row r="45" spans="1:8" x14ac:dyDescent="0.25">
      <c r="A45" t="s">
        <v>185</v>
      </c>
      <c r="B45" t="s">
        <v>186</v>
      </c>
      <c r="D45">
        <v>1163.165575</v>
      </c>
      <c r="E45">
        <v>585.07799</v>
      </c>
      <c r="F45">
        <v>157.49897000000001</v>
      </c>
      <c r="G45">
        <v>420.588615</v>
      </c>
      <c r="H45">
        <v>1003.656987</v>
      </c>
    </row>
    <row r="46" spans="1:8" x14ac:dyDescent="0.25">
      <c r="A46" t="s">
        <v>187</v>
      </c>
      <c r="B46" t="s">
        <v>188</v>
      </c>
      <c r="D46">
        <v>1395.778497</v>
      </c>
      <c r="E46">
        <v>1054.4025240000001</v>
      </c>
      <c r="F46">
        <v>58.058211999999997</v>
      </c>
      <c r="G46">
        <v>283.31776100000002</v>
      </c>
      <c r="H46">
        <v>1275.7882999999999</v>
      </c>
    </row>
    <row r="47" spans="1:8" x14ac:dyDescent="0.25">
      <c r="A47" t="s">
        <v>189</v>
      </c>
      <c r="B47" t="s">
        <v>190</v>
      </c>
      <c r="D47">
        <v>427.91007200000001</v>
      </c>
      <c r="E47">
        <v>309.05742099999998</v>
      </c>
      <c r="F47">
        <v>25.404641000000002</v>
      </c>
      <c r="G47">
        <v>93.448009999999996</v>
      </c>
      <c r="H47">
        <v>392.195851</v>
      </c>
    </row>
    <row r="48" spans="1:8" x14ac:dyDescent="0.25">
      <c r="A48" t="s">
        <v>191</v>
      </c>
      <c r="B48" t="s">
        <v>192</v>
      </c>
      <c r="D48">
        <v>355.91401433333328</v>
      </c>
      <c r="E48">
        <v>260.29778599999997</v>
      </c>
      <c r="F48">
        <v>0</v>
      </c>
      <c r="G48">
        <v>95.616228333333325</v>
      </c>
      <c r="H48">
        <v>355.91401433333328</v>
      </c>
    </row>
    <row r="49" spans="1:8" x14ac:dyDescent="0.25">
      <c r="A49" t="s">
        <v>193</v>
      </c>
      <c r="B49" t="s">
        <v>194</v>
      </c>
      <c r="D49">
        <v>905.015672</v>
      </c>
      <c r="E49">
        <v>681.172865</v>
      </c>
      <c r="F49">
        <v>55.713422999999999</v>
      </c>
      <c r="G49">
        <v>168.12938399999999</v>
      </c>
      <c r="H49">
        <v>805.22897699999999</v>
      </c>
    </row>
    <row r="50" spans="1:8" x14ac:dyDescent="0.25">
      <c r="A50" t="s">
        <v>195</v>
      </c>
      <c r="B50" t="s">
        <v>196</v>
      </c>
      <c r="D50">
        <v>237.60670300000001</v>
      </c>
      <c r="E50">
        <v>184.16103000000001</v>
      </c>
      <c r="F50">
        <v>0</v>
      </c>
      <c r="G50">
        <v>53.445672999999999</v>
      </c>
      <c r="H50">
        <v>237.60670300000001</v>
      </c>
    </row>
    <row r="51" spans="1:8" x14ac:dyDescent="0.25">
      <c r="A51" t="s">
        <v>197</v>
      </c>
      <c r="B51" t="s">
        <v>198</v>
      </c>
      <c r="D51">
        <v>556.12472500000001</v>
      </c>
      <c r="E51">
        <v>395.919196</v>
      </c>
      <c r="F51">
        <v>0</v>
      </c>
      <c r="G51">
        <v>160.20552900000001</v>
      </c>
      <c r="H51">
        <v>556.12472500000001</v>
      </c>
    </row>
    <row r="52" spans="1:8" x14ac:dyDescent="0.25">
      <c r="D52" s="19">
        <f>SUM(D3:D51)</f>
        <v>46750.065311333339</v>
      </c>
      <c r="E52" s="19">
        <f t="shared" ref="E52:H52" si="0">SUM(E3:E51)</f>
        <v>35393.160026666679</v>
      </c>
      <c r="F52" s="19">
        <f t="shared" si="0"/>
        <v>1646.2286383333333</v>
      </c>
      <c r="G52" s="19">
        <f t="shared" si="0"/>
        <v>9710.676646333337</v>
      </c>
      <c r="H52" s="19">
        <f t="shared" si="0"/>
        <v>43762.477392666675</v>
      </c>
    </row>
  </sheetData>
  <autoFilter ref="A2:H2" xr:uid="{42FCA7B9-03DF-40BC-B662-A90FFC455C73}">
    <sortState xmlns:xlrd2="http://schemas.microsoft.com/office/spreadsheetml/2017/richdata2" ref="A3:H52">
      <sortCondition ref="A2"/>
    </sortState>
  </autoFilter>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5630B-8F2B-4277-913C-4EBB6950247B}">
  <dimension ref="A2:H58"/>
  <sheetViews>
    <sheetView workbookViewId="0">
      <pane xSplit="3" ySplit="2" topLeftCell="D39" activePane="bottomRight" state="frozen"/>
      <selection pane="topRight" activeCell="D1" sqref="D1"/>
      <selection pane="bottomLeft" activeCell="A3" sqref="A3"/>
      <selection pane="bottomRight" activeCell="D50" sqref="D50"/>
    </sheetView>
  </sheetViews>
  <sheetFormatPr defaultRowHeight="15" x14ac:dyDescent="0.25"/>
  <cols>
    <col min="1" max="1" width="7.5703125" bestFit="1" customWidth="1"/>
    <col min="2" max="2" width="46" bestFit="1" customWidth="1"/>
    <col min="3" max="3" width="13.140625" bestFit="1" customWidth="1"/>
    <col min="4" max="6" width="19.28515625" bestFit="1" customWidth="1"/>
    <col min="7" max="7" width="20" bestFit="1" customWidth="1"/>
    <col min="8" max="8" width="19.28515625" customWidth="1"/>
  </cols>
  <sheetData>
    <row r="2" spans="1:8" s="4" customFormat="1" ht="45" x14ac:dyDescent="0.25">
      <c r="A2" s="4" t="s">
        <v>93</v>
      </c>
      <c r="B2" s="3" t="s">
        <v>940</v>
      </c>
      <c r="C2" s="4" t="s">
        <v>95</v>
      </c>
      <c r="D2" s="3" t="s">
        <v>377</v>
      </c>
      <c r="E2" s="3" t="s">
        <v>904</v>
      </c>
      <c r="F2" s="3" t="s">
        <v>378</v>
      </c>
      <c r="G2" s="3" t="s">
        <v>379</v>
      </c>
      <c r="H2" s="3" t="s">
        <v>380</v>
      </c>
    </row>
    <row r="3" spans="1:8" x14ac:dyDescent="0.25">
      <c r="A3" t="s">
        <v>101</v>
      </c>
      <c r="B3" t="s">
        <v>102</v>
      </c>
      <c r="C3" t="s">
        <v>202</v>
      </c>
      <c r="D3" s="68">
        <f>VLOOKUP(A3,'Valuation '!$A$2:$D$52,4,FALSE)</f>
        <v>3081470730</v>
      </c>
      <c r="E3" s="68">
        <v>2796930800</v>
      </c>
      <c r="F3" s="68">
        <v>2742167290</v>
      </c>
      <c r="G3" s="23">
        <f t="shared" ref="G3:G34" si="0">AVERAGE(D3:F3)</f>
        <v>2873522940</v>
      </c>
      <c r="H3" s="23">
        <f t="shared" ref="H3:H34" si="1">MIN(D3,G3)</f>
        <v>2873522940</v>
      </c>
    </row>
    <row r="4" spans="1:8" x14ac:dyDescent="0.25">
      <c r="A4" t="s">
        <v>103</v>
      </c>
      <c r="B4" t="s">
        <v>104</v>
      </c>
      <c r="C4" t="s">
        <v>203</v>
      </c>
      <c r="D4" s="68">
        <f>VLOOKUP(A4,'Valuation '!$A$2:$D$52,4,FALSE)</f>
        <v>1133910060</v>
      </c>
      <c r="E4" s="68">
        <v>1117951250</v>
      </c>
      <c r="F4" s="68">
        <v>1098931840</v>
      </c>
      <c r="G4" s="23">
        <f t="shared" si="0"/>
        <v>1116931050</v>
      </c>
      <c r="H4" s="23">
        <f t="shared" si="1"/>
        <v>1116931050</v>
      </c>
    </row>
    <row r="5" spans="1:8" x14ac:dyDescent="0.25">
      <c r="A5" t="s">
        <v>105</v>
      </c>
      <c r="B5" t="s">
        <v>106</v>
      </c>
      <c r="C5" t="s">
        <v>204</v>
      </c>
      <c r="D5" s="68">
        <f>VLOOKUP(A5,'Valuation '!$A$2:$D$52,4,FALSE)</f>
        <v>2626740790</v>
      </c>
      <c r="E5" s="68">
        <v>2070410980</v>
      </c>
      <c r="F5" s="68">
        <v>2036640000</v>
      </c>
      <c r="G5" s="23">
        <f t="shared" si="0"/>
        <v>2244597256.6666665</v>
      </c>
      <c r="H5" s="23">
        <f t="shared" si="1"/>
        <v>2244597256.6666665</v>
      </c>
    </row>
    <row r="6" spans="1:8" x14ac:dyDescent="0.25">
      <c r="A6" t="s">
        <v>107</v>
      </c>
      <c r="B6" t="s">
        <v>108</v>
      </c>
      <c r="C6" t="s">
        <v>205</v>
      </c>
      <c r="D6" s="68">
        <f>VLOOKUP(A6,'Valuation '!$A$2:$D$52,4,FALSE)</f>
        <v>3086011510</v>
      </c>
      <c r="E6" s="68">
        <v>2999307950</v>
      </c>
      <c r="F6" s="68">
        <v>2769173330</v>
      </c>
      <c r="G6" s="23">
        <f t="shared" si="0"/>
        <v>2951497596.6666665</v>
      </c>
      <c r="H6" s="23">
        <f t="shared" si="1"/>
        <v>2951497596.6666665</v>
      </c>
    </row>
    <row r="7" spans="1:8" x14ac:dyDescent="0.25">
      <c r="A7" t="s">
        <v>109</v>
      </c>
      <c r="B7" t="s">
        <v>110</v>
      </c>
      <c r="C7" t="s">
        <v>206</v>
      </c>
      <c r="D7" s="68">
        <f>VLOOKUP(A7,'Valuation '!$A$2:$D$52,4,FALSE)</f>
        <v>15459268610</v>
      </c>
      <c r="E7" s="68">
        <v>11770553830</v>
      </c>
      <c r="F7" s="68">
        <v>11552228010</v>
      </c>
      <c r="G7" s="23">
        <f t="shared" si="0"/>
        <v>12927350150</v>
      </c>
      <c r="H7" s="23">
        <f t="shared" si="1"/>
        <v>12927350150</v>
      </c>
    </row>
    <row r="8" spans="1:8" x14ac:dyDescent="0.25">
      <c r="A8" t="s">
        <v>111</v>
      </c>
      <c r="B8" t="s">
        <v>112</v>
      </c>
      <c r="C8" t="s">
        <v>207</v>
      </c>
      <c r="D8" s="68">
        <f>VLOOKUP(A8,'Valuation '!$A$2:$D$52,4,FALSE)</f>
        <v>1871554020</v>
      </c>
      <c r="E8" s="68">
        <v>1816620030</v>
      </c>
      <c r="F8" s="68">
        <v>1589813270</v>
      </c>
      <c r="G8" s="23">
        <f t="shared" si="0"/>
        <v>1759329106.6666667</v>
      </c>
      <c r="H8" s="23">
        <f t="shared" si="1"/>
        <v>1759329106.6666667</v>
      </c>
    </row>
    <row r="9" spans="1:8" x14ac:dyDescent="0.25">
      <c r="A9" t="s">
        <v>113</v>
      </c>
      <c r="B9" t="s">
        <v>114</v>
      </c>
      <c r="C9" t="s">
        <v>208</v>
      </c>
      <c r="D9" s="68">
        <f>VLOOKUP(A9,'Valuation '!$A$2:$D$52,4,FALSE)</f>
        <v>8340464650</v>
      </c>
      <c r="E9" s="68">
        <v>7444095020</v>
      </c>
      <c r="F9" s="68">
        <v>7337358960</v>
      </c>
      <c r="G9" s="23">
        <f t="shared" si="0"/>
        <v>7707306210</v>
      </c>
      <c r="H9" s="23">
        <f t="shared" si="1"/>
        <v>7707306210</v>
      </c>
    </row>
    <row r="10" spans="1:8" x14ac:dyDescent="0.25">
      <c r="A10" t="s">
        <v>115</v>
      </c>
      <c r="B10" t="s">
        <v>116</v>
      </c>
      <c r="C10" t="s">
        <v>208</v>
      </c>
      <c r="D10" s="68">
        <f>VLOOKUP(A10,'Valuation '!$A$2:$D$52,4,FALSE)</f>
        <v>6106182010</v>
      </c>
      <c r="E10" s="68">
        <v>6091599770</v>
      </c>
      <c r="F10" s="68">
        <v>6048691810</v>
      </c>
      <c r="G10" s="23">
        <f t="shared" si="0"/>
        <v>6082157863.333333</v>
      </c>
      <c r="H10" s="23">
        <f t="shared" si="1"/>
        <v>6082157863.333333</v>
      </c>
    </row>
    <row r="11" spans="1:8" x14ac:dyDescent="0.25">
      <c r="A11" t="s">
        <v>117</v>
      </c>
      <c r="B11" t="s">
        <v>118</v>
      </c>
      <c r="C11" t="s">
        <v>209</v>
      </c>
      <c r="D11" s="68">
        <f>VLOOKUP(A11,'Valuation '!$A$2:$D$52,4,FALSE)</f>
        <v>4884682800</v>
      </c>
      <c r="E11" s="68">
        <v>4120313540</v>
      </c>
      <c r="F11" s="68">
        <v>4097155930</v>
      </c>
      <c r="G11" s="23">
        <f t="shared" si="0"/>
        <v>4367384090</v>
      </c>
      <c r="H11" s="23">
        <f t="shared" si="1"/>
        <v>4367384090</v>
      </c>
    </row>
    <row r="12" spans="1:8" x14ac:dyDescent="0.25">
      <c r="A12" t="s">
        <v>119</v>
      </c>
      <c r="B12" t="s">
        <v>120</v>
      </c>
      <c r="C12" t="s">
        <v>210</v>
      </c>
      <c r="D12" s="68">
        <f>VLOOKUP(A12,'Valuation '!$A$2:$D$52,4,FALSE)</f>
        <v>11123109920</v>
      </c>
      <c r="E12" s="68">
        <v>8271095870</v>
      </c>
      <c r="F12" s="68">
        <v>7931762900</v>
      </c>
      <c r="G12" s="23">
        <f t="shared" si="0"/>
        <v>9108656230</v>
      </c>
      <c r="H12" s="23">
        <f t="shared" si="1"/>
        <v>9108656230</v>
      </c>
    </row>
    <row r="13" spans="1:8" x14ac:dyDescent="0.25">
      <c r="A13" t="s">
        <v>121</v>
      </c>
      <c r="B13" t="s">
        <v>122</v>
      </c>
      <c r="C13" t="s">
        <v>211</v>
      </c>
      <c r="D13" s="68">
        <f>VLOOKUP(A13,'Valuation '!$A$2:$D$52,4,FALSE)</f>
        <v>14215953940</v>
      </c>
      <c r="E13" s="68">
        <v>11516530860</v>
      </c>
      <c r="F13" s="68">
        <v>10514757200</v>
      </c>
      <c r="G13" s="23">
        <f t="shared" si="0"/>
        <v>12082414000</v>
      </c>
      <c r="H13" s="23">
        <f t="shared" si="1"/>
        <v>12082414000</v>
      </c>
    </row>
    <row r="14" spans="1:8" x14ac:dyDescent="0.25">
      <c r="A14" t="s">
        <v>123</v>
      </c>
      <c r="B14" t="s">
        <v>124</v>
      </c>
      <c r="C14" t="s">
        <v>212</v>
      </c>
      <c r="D14" s="68">
        <f>VLOOKUP(A14,'Valuation '!$A$2:$D$52,4,FALSE)</f>
        <v>4367060820</v>
      </c>
      <c r="E14" s="68">
        <v>4278638810</v>
      </c>
      <c r="F14" s="68">
        <v>4212125880</v>
      </c>
      <c r="G14" s="23">
        <f t="shared" si="0"/>
        <v>4285941836.6666665</v>
      </c>
      <c r="H14" s="23">
        <f t="shared" si="1"/>
        <v>4285941836.6666665</v>
      </c>
    </row>
    <row r="15" spans="1:8" x14ac:dyDescent="0.25">
      <c r="A15" t="s">
        <v>125</v>
      </c>
      <c r="B15" t="s">
        <v>126</v>
      </c>
      <c r="C15" t="s">
        <v>213</v>
      </c>
      <c r="D15" s="68">
        <f>VLOOKUP(A15,'Valuation '!$A$2:$D$52,4,FALSE)</f>
        <v>6295582980</v>
      </c>
      <c r="E15" s="68">
        <v>4949250510</v>
      </c>
      <c r="F15" s="68">
        <v>4873472040</v>
      </c>
      <c r="G15" s="23">
        <f t="shared" si="0"/>
        <v>5372768510</v>
      </c>
      <c r="H15" s="23">
        <f t="shared" si="1"/>
        <v>5372768510</v>
      </c>
    </row>
    <row r="16" spans="1:8" x14ac:dyDescent="0.25">
      <c r="A16" t="s">
        <v>127</v>
      </c>
      <c r="B16" t="s">
        <v>128</v>
      </c>
      <c r="C16" t="s">
        <v>214</v>
      </c>
      <c r="D16" s="68">
        <f>VLOOKUP(A16,'Valuation '!$A$2:$D$52,4,FALSE)</f>
        <v>29196616270</v>
      </c>
      <c r="E16" s="68">
        <v>23630130110</v>
      </c>
      <c r="F16" s="68">
        <v>23189159550</v>
      </c>
      <c r="G16" s="23">
        <f t="shared" si="0"/>
        <v>25338635310</v>
      </c>
      <c r="H16" s="23">
        <f t="shared" si="1"/>
        <v>25338635310</v>
      </c>
    </row>
    <row r="17" spans="1:8" x14ac:dyDescent="0.25">
      <c r="A17" t="s">
        <v>129</v>
      </c>
      <c r="B17" t="s">
        <v>130</v>
      </c>
      <c r="C17" t="s">
        <v>215</v>
      </c>
      <c r="D17" s="68">
        <f>VLOOKUP(A17,'Valuation '!$A$2:$D$52,4,FALSE)</f>
        <v>2023962740</v>
      </c>
      <c r="E17" s="68">
        <v>1936295920</v>
      </c>
      <c r="F17" s="68">
        <v>1898001910</v>
      </c>
      <c r="G17" s="23">
        <f t="shared" si="0"/>
        <v>1952753523.3333333</v>
      </c>
      <c r="H17" s="23">
        <f t="shared" si="1"/>
        <v>1952753523.3333333</v>
      </c>
    </row>
    <row r="18" spans="1:8" x14ac:dyDescent="0.25">
      <c r="A18" t="s">
        <v>131</v>
      </c>
      <c r="B18" t="s">
        <v>132</v>
      </c>
      <c r="C18" t="s">
        <v>216</v>
      </c>
      <c r="D18" s="68">
        <f>VLOOKUP(A18,'Valuation '!$A$2:$D$52,4,FALSE)</f>
        <v>2533561263</v>
      </c>
      <c r="E18" s="68">
        <v>1890727928</v>
      </c>
      <c r="F18" s="68">
        <v>1851500264</v>
      </c>
      <c r="G18" s="23">
        <f t="shared" si="0"/>
        <v>2091929818.3333333</v>
      </c>
      <c r="H18" s="23">
        <f t="shared" si="1"/>
        <v>2091929818.3333333</v>
      </c>
    </row>
    <row r="19" spans="1:8" x14ac:dyDescent="0.25">
      <c r="A19" t="s">
        <v>133</v>
      </c>
      <c r="B19" t="s">
        <v>134</v>
      </c>
      <c r="C19" t="s">
        <v>217</v>
      </c>
      <c r="D19" s="68">
        <f>VLOOKUP(A19,'Valuation '!$A$2:$D$52,4,FALSE)</f>
        <v>6046511300</v>
      </c>
      <c r="E19" s="68">
        <v>5362553250</v>
      </c>
      <c r="F19" s="68">
        <v>5293737090</v>
      </c>
      <c r="G19" s="23">
        <f t="shared" si="0"/>
        <v>5567600546.666667</v>
      </c>
      <c r="H19" s="23">
        <f t="shared" si="1"/>
        <v>5567600546.666667</v>
      </c>
    </row>
    <row r="20" spans="1:8" x14ac:dyDescent="0.25">
      <c r="A20" t="s">
        <v>135</v>
      </c>
      <c r="B20" t="s">
        <v>136</v>
      </c>
      <c r="C20" t="s">
        <v>218</v>
      </c>
      <c r="D20" s="68">
        <f>VLOOKUP(A20,'Valuation '!$A$2:$D$52,4,FALSE)</f>
        <v>1826135910</v>
      </c>
      <c r="E20" s="68">
        <v>1822360820</v>
      </c>
      <c r="F20" s="68">
        <v>1507517140</v>
      </c>
      <c r="G20" s="23">
        <f t="shared" si="0"/>
        <v>1718671290</v>
      </c>
      <c r="H20" s="23">
        <f t="shared" si="1"/>
        <v>1718671290</v>
      </c>
    </row>
    <row r="21" spans="1:8" x14ac:dyDescent="0.25">
      <c r="A21" t="s">
        <v>137</v>
      </c>
      <c r="B21" t="s">
        <v>138</v>
      </c>
      <c r="C21" t="s">
        <v>219</v>
      </c>
      <c r="D21" s="68">
        <f>VLOOKUP(A21,'Valuation '!$A$2:$D$52,4,FALSE)</f>
        <v>8082052928</v>
      </c>
      <c r="E21" s="68">
        <v>5906141434</v>
      </c>
      <c r="F21" s="68">
        <v>5664657616</v>
      </c>
      <c r="G21" s="23">
        <f t="shared" si="0"/>
        <v>6550950659.333333</v>
      </c>
      <c r="H21" s="23">
        <f t="shared" si="1"/>
        <v>6550950659.333333</v>
      </c>
    </row>
    <row r="22" spans="1:8" x14ac:dyDescent="0.25">
      <c r="A22" t="s">
        <v>139</v>
      </c>
      <c r="B22" t="s">
        <v>140</v>
      </c>
      <c r="C22" t="s">
        <v>220</v>
      </c>
      <c r="D22" s="68">
        <f>VLOOKUP(A22,'Valuation '!$A$2:$D$52,4,FALSE)</f>
        <v>8231790920</v>
      </c>
      <c r="E22" s="68">
        <v>8094981140</v>
      </c>
      <c r="F22" s="68">
        <v>7950688080</v>
      </c>
      <c r="G22" s="23">
        <f t="shared" si="0"/>
        <v>8092486713.333333</v>
      </c>
      <c r="H22" s="23">
        <f t="shared" si="1"/>
        <v>8092486713.333333</v>
      </c>
    </row>
    <row r="23" spans="1:8" x14ac:dyDescent="0.25">
      <c r="A23" t="s">
        <v>141</v>
      </c>
      <c r="B23" t="s">
        <v>142</v>
      </c>
      <c r="C23" t="s">
        <v>221</v>
      </c>
      <c r="D23" s="68">
        <f>VLOOKUP(A23,'Valuation '!$A$2:$D$52,4,FALSE)</f>
        <v>5654414610</v>
      </c>
      <c r="E23" s="68">
        <v>4337021710</v>
      </c>
      <c r="F23" s="68">
        <v>4258618810</v>
      </c>
      <c r="G23" s="23">
        <f t="shared" si="0"/>
        <v>4750018376.666667</v>
      </c>
      <c r="H23" s="23">
        <f t="shared" si="1"/>
        <v>4750018376.666667</v>
      </c>
    </row>
    <row r="24" spans="1:8" x14ac:dyDescent="0.25">
      <c r="A24" t="s">
        <v>143</v>
      </c>
      <c r="B24" t="s">
        <v>144</v>
      </c>
      <c r="C24" t="s">
        <v>222</v>
      </c>
      <c r="D24" s="68">
        <f>VLOOKUP(A24,'Valuation '!$A$2:$D$52,4,FALSE)</f>
        <v>10357544400</v>
      </c>
      <c r="E24" s="68">
        <v>8250538660</v>
      </c>
      <c r="F24" s="68">
        <v>7919787430</v>
      </c>
      <c r="G24" s="23">
        <f t="shared" si="0"/>
        <v>8842623496.666666</v>
      </c>
      <c r="H24" s="23">
        <f t="shared" si="1"/>
        <v>8842623496.666666</v>
      </c>
    </row>
    <row r="25" spans="1:8" x14ac:dyDescent="0.25">
      <c r="A25" t="s">
        <v>145</v>
      </c>
      <c r="B25" t="s">
        <v>146</v>
      </c>
      <c r="C25" t="s">
        <v>223</v>
      </c>
      <c r="D25" s="68">
        <f>VLOOKUP(A25,'Valuation '!$A$2:$D$52,4,FALSE)</f>
        <v>5410503444</v>
      </c>
      <c r="E25" s="68">
        <v>5148441772</v>
      </c>
      <c r="F25" s="68">
        <v>4922794693</v>
      </c>
      <c r="G25" s="23">
        <f t="shared" si="0"/>
        <v>5160579969.666667</v>
      </c>
      <c r="H25" s="23">
        <f t="shared" si="1"/>
        <v>5160579969.666667</v>
      </c>
    </row>
    <row r="26" spans="1:8" x14ac:dyDescent="0.25">
      <c r="A26" t="s">
        <v>147</v>
      </c>
      <c r="B26" t="s">
        <v>148</v>
      </c>
      <c r="C26" t="s">
        <v>224</v>
      </c>
      <c r="D26" s="68">
        <f>VLOOKUP(A26,'Valuation '!$A$2:$D$52,4,FALSE)</f>
        <v>4735266750</v>
      </c>
      <c r="E26" s="68">
        <v>4519489260</v>
      </c>
      <c r="F26" s="68">
        <v>3787994660</v>
      </c>
      <c r="G26" s="23">
        <f t="shared" si="0"/>
        <v>4347583556.666667</v>
      </c>
      <c r="H26" s="23">
        <f t="shared" si="1"/>
        <v>4347583556.666667</v>
      </c>
    </row>
    <row r="27" spans="1:8" x14ac:dyDescent="0.25">
      <c r="A27" t="s">
        <v>149</v>
      </c>
      <c r="B27" t="s">
        <v>150</v>
      </c>
      <c r="C27" t="s">
        <v>225</v>
      </c>
      <c r="D27" s="68">
        <f>VLOOKUP(A27,'Valuation '!$A$2:$D$52,4,FALSE)</f>
        <v>8656896980</v>
      </c>
      <c r="E27" s="68">
        <v>7754573150</v>
      </c>
      <c r="F27" s="68">
        <v>7659083780</v>
      </c>
      <c r="G27" s="23">
        <f t="shared" si="0"/>
        <v>8023517970</v>
      </c>
      <c r="H27" s="23">
        <f t="shared" si="1"/>
        <v>8023517970</v>
      </c>
    </row>
    <row r="28" spans="1:8" x14ac:dyDescent="0.25">
      <c r="A28" t="s">
        <v>151</v>
      </c>
      <c r="B28" t="s">
        <v>152</v>
      </c>
      <c r="C28" t="s">
        <v>226</v>
      </c>
      <c r="D28" s="68">
        <f>VLOOKUP(A28,'Valuation '!$A$2:$D$52,4,FALSE)</f>
        <v>737562040</v>
      </c>
      <c r="E28" s="68">
        <v>602527400</v>
      </c>
      <c r="F28" s="68">
        <v>585933990</v>
      </c>
      <c r="G28" s="23">
        <f t="shared" si="0"/>
        <v>642007810</v>
      </c>
      <c r="H28" s="23">
        <f t="shared" si="1"/>
        <v>642007810</v>
      </c>
    </row>
    <row r="29" spans="1:8" x14ac:dyDescent="0.25">
      <c r="A29" t="s">
        <v>153</v>
      </c>
      <c r="B29" t="s">
        <v>154</v>
      </c>
      <c r="C29" t="s">
        <v>227</v>
      </c>
      <c r="D29" s="68">
        <f>VLOOKUP(A29,'Valuation '!$A$2:$D$52,4,FALSE)</f>
        <v>3105485680</v>
      </c>
      <c r="E29" s="68">
        <v>3053705510</v>
      </c>
      <c r="F29" s="68">
        <v>2995941890</v>
      </c>
      <c r="G29" s="23">
        <f t="shared" si="0"/>
        <v>3051711026.6666665</v>
      </c>
      <c r="H29" s="23">
        <f t="shared" si="1"/>
        <v>3051711026.6666665</v>
      </c>
    </row>
    <row r="30" spans="1:8" x14ac:dyDescent="0.25">
      <c r="A30" t="s">
        <v>155</v>
      </c>
      <c r="B30" t="s">
        <v>156</v>
      </c>
      <c r="C30" t="s">
        <v>228</v>
      </c>
      <c r="D30" s="68">
        <f>VLOOKUP(A30,'Valuation '!$A$2:$D$52,4,FALSE)</f>
        <v>3781505840</v>
      </c>
      <c r="E30" s="68">
        <v>3259228280</v>
      </c>
      <c r="F30" s="68">
        <v>3065141420</v>
      </c>
      <c r="G30" s="23">
        <f t="shared" si="0"/>
        <v>3368625180</v>
      </c>
      <c r="H30" s="23">
        <f t="shared" si="1"/>
        <v>3368625180</v>
      </c>
    </row>
    <row r="31" spans="1:8" x14ac:dyDescent="0.25">
      <c r="A31" t="s">
        <v>157</v>
      </c>
      <c r="B31" t="s">
        <v>158</v>
      </c>
      <c r="C31" t="s">
        <v>229</v>
      </c>
      <c r="D31" s="68">
        <f>VLOOKUP(A31,'Valuation '!$A$2:$D$52,4,FALSE)</f>
        <v>3257018140</v>
      </c>
      <c r="E31" s="68">
        <v>2924019290</v>
      </c>
      <c r="F31" s="68">
        <v>2593188030</v>
      </c>
      <c r="G31" s="23">
        <f t="shared" si="0"/>
        <v>2924741820</v>
      </c>
      <c r="H31" s="23">
        <f t="shared" si="1"/>
        <v>2924741820</v>
      </c>
    </row>
    <row r="32" spans="1:8" x14ac:dyDescent="0.25">
      <c r="A32" t="s">
        <v>159</v>
      </c>
      <c r="B32" t="s">
        <v>160</v>
      </c>
      <c r="C32" t="s">
        <v>230</v>
      </c>
      <c r="D32" s="68">
        <f>VLOOKUP(A32,'Valuation '!$A$2:$D$52,4,FALSE)</f>
        <v>4461936840</v>
      </c>
      <c r="E32" s="68">
        <v>4057924350</v>
      </c>
      <c r="F32" s="68">
        <v>3955887730</v>
      </c>
      <c r="G32" s="23">
        <f t="shared" si="0"/>
        <v>4158582973.3333335</v>
      </c>
      <c r="H32" s="23">
        <f t="shared" si="1"/>
        <v>4158582973.3333335</v>
      </c>
    </row>
    <row r="33" spans="1:8" x14ac:dyDescent="0.25">
      <c r="A33" t="s">
        <v>161</v>
      </c>
      <c r="B33" t="s">
        <v>162</v>
      </c>
      <c r="C33" t="s">
        <v>231</v>
      </c>
      <c r="D33" s="68">
        <f>VLOOKUP(A33,'Valuation '!$A$2:$D$52,4,FALSE)</f>
        <v>6705904770</v>
      </c>
      <c r="E33" s="68">
        <v>6475390730</v>
      </c>
      <c r="F33" s="68">
        <v>6314758940</v>
      </c>
      <c r="G33" s="23">
        <f t="shared" si="0"/>
        <v>6498684813.333333</v>
      </c>
      <c r="H33" s="23">
        <f t="shared" si="1"/>
        <v>6498684813.333333</v>
      </c>
    </row>
    <row r="34" spans="1:8" x14ac:dyDescent="0.25">
      <c r="A34" t="s">
        <v>163</v>
      </c>
      <c r="B34" t="s">
        <v>164</v>
      </c>
      <c r="C34" t="s">
        <v>232</v>
      </c>
      <c r="D34" s="68">
        <f>VLOOKUP(A34,'Valuation '!$A$2:$D$52,4,FALSE)</f>
        <v>1392380440</v>
      </c>
      <c r="E34" s="68">
        <v>1391144580</v>
      </c>
      <c r="F34" s="68">
        <v>1218126450</v>
      </c>
      <c r="G34" s="23">
        <f t="shared" si="0"/>
        <v>1333883823.3333333</v>
      </c>
      <c r="H34" s="23">
        <f t="shared" si="1"/>
        <v>1333883823.3333333</v>
      </c>
    </row>
    <row r="35" spans="1:8" x14ac:dyDescent="0.25">
      <c r="A35" t="s">
        <v>165</v>
      </c>
      <c r="B35" t="s">
        <v>166</v>
      </c>
      <c r="C35" t="s">
        <v>233</v>
      </c>
      <c r="D35" s="68">
        <f>VLOOKUP(A35,'Valuation '!$A$2:$D$52,4,FALSE)</f>
        <v>3198433870</v>
      </c>
      <c r="E35" s="68">
        <v>3187915330</v>
      </c>
      <c r="F35" s="68">
        <v>2643671980</v>
      </c>
      <c r="G35" s="23">
        <f t="shared" ref="G35:G51" si="2">AVERAGE(D35:F35)</f>
        <v>3010007060</v>
      </c>
      <c r="H35" s="23">
        <f t="shared" ref="H35:H51" si="3">MIN(D35,G35)</f>
        <v>3010007060</v>
      </c>
    </row>
    <row r="36" spans="1:8" x14ac:dyDescent="0.25">
      <c r="A36" t="s">
        <v>167</v>
      </c>
      <c r="B36" t="s">
        <v>168</v>
      </c>
      <c r="C36" t="s">
        <v>234</v>
      </c>
      <c r="D36" s="68">
        <f>VLOOKUP(A36,'Valuation '!$A$2:$D$52,4,FALSE)</f>
        <v>3046328140</v>
      </c>
      <c r="E36" s="68">
        <v>2805870840</v>
      </c>
      <c r="F36" s="68">
        <v>2584518950</v>
      </c>
      <c r="G36" s="23">
        <f t="shared" si="2"/>
        <v>2812239310</v>
      </c>
      <c r="H36" s="23">
        <f t="shared" si="3"/>
        <v>2812239310</v>
      </c>
    </row>
    <row r="37" spans="1:8" x14ac:dyDescent="0.25">
      <c r="A37" t="s">
        <v>169</v>
      </c>
      <c r="B37" t="s">
        <v>170</v>
      </c>
      <c r="C37" t="s">
        <v>235</v>
      </c>
      <c r="D37" s="68">
        <f>VLOOKUP(A37,'Valuation '!$A$2:$D$52,4,FALSE)</f>
        <v>4829164670</v>
      </c>
      <c r="E37" s="68">
        <v>3763640410</v>
      </c>
      <c r="F37" s="68">
        <v>3705438780</v>
      </c>
      <c r="G37" s="23">
        <f t="shared" si="2"/>
        <v>4099414620</v>
      </c>
      <c r="H37" s="23">
        <f t="shared" si="3"/>
        <v>4099414620</v>
      </c>
    </row>
    <row r="38" spans="1:8" x14ac:dyDescent="0.25">
      <c r="A38" t="s">
        <v>171</v>
      </c>
      <c r="B38" t="s">
        <v>172</v>
      </c>
      <c r="C38" t="s">
        <v>236</v>
      </c>
      <c r="D38" s="68">
        <f>VLOOKUP(A38,'Valuation '!$A$2:$D$52,4,FALSE)</f>
        <v>4848569530</v>
      </c>
      <c r="E38" s="68">
        <v>4720346620</v>
      </c>
      <c r="F38" s="68">
        <v>4007795480</v>
      </c>
      <c r="G38" s="23">
        <f t="shared" si="2"/>
        <v>4525570543.333333</v>
      </c>
      <c r="H38" s="23">
        <f t="shared" si="3"/>
        <v>4525570543.333333</v>
      </c>
    </row>
    <row r="39" spans="1:8" x14ac:dyDescent="0.25">
      <c r="A39" t="s">
        <v>173</v>
      </c>
      <c r="B39" t="s">
        <v>174</v>
      </c>
      <c r="C39" t="s">
        <v>237</v>
      </c>
      <c r="D39" s="68">
        <f>VLOOKUP(A39,'Valuation '!$A$2:$D$52,4,FALSE)</f>
        <v>2425268480</v>
      </c>
      <c r="E39" s="68">
        <v>1943033800</v>
      </c>
      <c r="F39" s="68">
        <v>1842476620</v>
      </c>
      <c r="G39" s="23">
        <f t="shared" si="2"/>
        <v>2070259633.3333333</v>
      </c>
      <c r="H39" s="23">
        <f t="shared" si="3"/>
        <v>2070259633.3333333</v>
      </c>
    </row>
    <row r="40" spans="1:8" x14ac:dyDescent="0.25">
      <c r="A40" t="s">
        <v>175</v>
      </c>
      <c r="B40" t="s">
        <v>176</v>
      </c>
      <c r="C40" t="s">
        <v>238</v>
      </c>
      <c r="D40" s="68">
        <f>VLOOKUP(A40,'Valuation '!$A$2:$D$52,4,FALSE)</f>
        <v>1975176040</v>
      </c>
      <c r="E40" s="68">
        <v>1986960650</v>
      </c>
      <c r="F40" s="68">
        <v>1727953220</v>
      </c>
      <c r="G40" s="23">
        <f t="shared" si="2"/>
        <v>1896696636.6666667</v>
      </c>
      <c r="H40" s="23">
        <f t="shared" si="3"/>
        <v>1896696636.6666667</v>
      </c>
    </row>
    <row r="41" spans="1:8" x14ac:dyDescent="0.25">
      <c r="A41" t="s">
        <v>177</v>
      </c>
      <c r="B41" t="s">
        <v>178</v>
      </c>
      <c r="C41" t="s">
        <v>239</v>
      </c>
      <c r="D41" s="68">
        <f>VLOOKUP(A41,'Valuation '!$A$2:$D$52,4,FALSE)</f>
        <v>4201921910</v>
      </c>
      <c r="E41" s="68">
        <v>3375711010</v>
      </c>
      <c r="F41" s="68">
        <v>3323384690</v>
      </c>
      <c r="G41" s="23">
        <f t="shared" si="2"/>
        <v>3633672536.6666665</v>
      </c>
      <c r="H41" s="23">
        <f t="shared" si="3"/>
        <v>3633672536.6666665</v>
      </c>
    </row>
    <row r="42" spans="1:8" x14ac:dyDescent="0.25">
      <c r="A42" t="s">
        <v>179</v>
      </c>
      <c r="B42" t="s">
        <v>180</v>
      </c>
      <c r="C42" t="s">
        <v>240</v>
      </c>
      <c r="D42" s="68">
        <f>VLOOKUP(A42,'Valuation '!$A$2:$D$52,4,FALSE)</f>
        <v>2154475500</v>
      </c>
      <c r="E42" s="68">
        <v>2104356490</v>
      </c>
      <c r="F42" s="68">
        <v>2030323980</v>
      </c>
      <c r="G42" s="23">
        <f t="shared" si="2"/>
        <v>2096385323.3333333</v>
      </c>
      <c r="H42" s="23">
        <f t="shared" si="3"/>
        <v>2096385323.3333333</v>
      </c>
    </row>
    <row r="43" spans="1:8" x14ac:dyDescent="0.25">
      <c r="A43" t="s">
        <v>181</v>
      </c>
      <c r="B43" t="s">
        <v>182</v>
      </c>
      <c r="C43" t="s">
        <v>241</v>
      </c>
      <c r="D43" s="68">
        <f>VLOOKUP(A43,'Valuation '!$A$2:$D$52,4,FALSE)</f>
        <v>2438985210</v>
      </c>
      <c r="E43" s="68">
        <v>2090578940</v>
      </c>
      <c r="F43" s="68">
        <v>1950601230</v>
      </c>
      <c r="G43" s="23">
        <f t="shared" si="2"/>
        <v>2160055126.6666665</v>
      </c>
      <c r="H43" s="23">
        <f t="shared" si="3"/>
        <v>2160055126.6666665</v>
      </c>
    </row>
    <row r="44" spans="1:8" x14ac:dyDescent="0.25">
      <c r="A44" t="s">
        <v>183</v>
      </c>
      <c r="B44" t="s">
        <v>184</v>
      </c>
      <c r="C44" t="s">
        <v>242</v>
      </c>
      <c r="D44" s="68">
        <f>VLOOKUP(A44,'Valuation '!$A$2:$D$52,4,FALSE)</f>
        <v>2478245940</v>
      </c>
      <c r="E44" s="68">
        <v>2253480870</v>
      </c>
      <c r="F44" s="68">
        <v>1991109380</v>
      </c>
      <c r="G44" s="23">
        <f t="shared" si="2"/>
        <v>2240945396.6666665</v>
      </c>
      <c r="H44" s="23">
        <f t="shared" si="3"/>
        <v>2240945396.6666665</v>
      </c>
    </row>
    <row r="45" spans="1:8" x14ac:dyDescent="0.25">
      <c r="A45" t="s">
        <v>185</v>
      </c>
      <c r="B45" t="s">
        <v>186</v>
      </c>
      <c r="C45" t="s">
        <v>243</v>
      </c>
      <c r="D45" s="68">
        <f>VLOOKUP(A45,'Valuation '!$A$2:$D$52,4,FALSE)</f>
        <v>6945448560</v>
      </c>
      <c r="E45" s="68">
        <v>6791351130</v>
      </c>
      <c r="F45" s="68">
        <v>5558179360</v>
      </c>
      <c r="G45" s="23">
        <f t="shared" si="2"/>
        <v>6431659683.333333</v>
      </c>
      <c r="H45" s="23">
        <f t="shared" si="3"/>
        <v>6431659683.333333</v>
      </c>
    </row>
    <row r="46" spans="1:8" x14ac:dyDescent="0.25">
      <c r="A46" t="s">
        <v>187</v>
      </c>
      <c r="B46" t="s">
        <v>188</v>
      </c>
      <c r="C46" t="s">
        <v>244</v>
      </c>
      <c r="D46" s="68">
        <f>VLOOKUP(A46,'Valuation '!$A$2:$D$52,4,FALSE)</f>
        <v>3559755610</v>
      </c>
      <c r="E46" s="68">
        <v>3098304850</v>
      </c>
      <c r="F46" s="68">
        <v>2804845020</v>
      </c>
      <c r="G46" s="23">
        <f t="shared" si="2"/>
        <v>3154301826.6666665</v>
      </c>
      <c r="H46" s="23">
        <f t="shared" si="3"/>
        <v>3154301826.6666665</v>
      </c>
    </row>
    <row r="47" spans="1:8" x14ac:dyDescent="0.25">
      <c r="A47" t="s">
        <v>189</v>
      </c>
      <c r="B47" t="s">
        <v>190</v>
      </c>
      <c r="C47" t="s">
        <v>245</v>
      </c>
      <c r="D47" s="68">
        <f>VLOOKUP(A47,'Valuation '!$A$2:$D$52,4,FALSE)</f>
        <v>1105540490</v>
      </c>
      <c r="E47" s="68">
        <v>931592920</v>
      </c>
      <c r="F47" s="68">
        <v>921456140</v>
      </c>
      <c r="G47" s="23">
        <f t="shared" si="2"/>
        <v>986196516.66666663</v>
      </c>
      <c r="H47" s="23">
        <f t="shared" si="3"/>
        <v>986196516.66666663</v>
      </c>
    </row>
    <row r="48" spans="1:8" x14ac:dyDescent="0.25">
      <c r="A48" t="s">
        <v>191</v>
      </c>
      <c r="B48" t="s">
        <v>192</v>
      </c>
      <c r="C48" t="s">
        <v>246</v>
      </c>
      <c r="D48" s="68">
        <f>VLOOKUP(A48,'Valuation '!$A$2:$D$52,4,FALSE)</f>
        <v>2636487690</v>
      </c>
      <c r="E48" s="68">
        <v>2074754360</v>
      </c>
      <c r="F48" s="68">
        <v>2040375130</v>
      </c>
      <c r="G48" s="23">
        <f t="shared" si="2"/>
        <v>2250539060</v>
      </c>
      <c r="H48" s="23">
        <f t="shared" si="3"/>
        <v>2250539060</v>
      </c>
    </row>
    <row r="49" spans="1:8" x14ac:dyDescent="0.25">
      <c r="A49" t="s">
        <v>193</v>
      </c>
      <c r="B49" t="s">
        <v>194</v>
      </c>
      <c r="C49" t="s">
        <v>247</v>
      </c>
      <c r="D49" s="68">
        <f>VLOOKUP(A49,'Valuation '!$A$2:$D$52,4,FALSE)</f>
        <v>12389567000</v>
      </c>
      <c r="E49" s="68">
        <v>9789001680</v>
      </c>
      <c r="F49" s="68">
        <v>9380902150</v>
      </c>
      <c r="G49" s="23">
        <f t="shared" si="2"/>
        <v>10519823610</v>
      </c>
      <c r="H49" s="23">
        <f t="shared" si="3"/>
        <v>10519823610</v>
      </c>
    </row>
    <row r="50" spans="1:8" x14ac:dyDescent="0.25">
      <c r="A50" t="s">
        <v>195</v>
      </c>
      <c r="B50" t="s">
        <v>196</v>
      </c>
      <c r="C50" t="s">
        <v>248</v>
      </c>
      <c r="D50" s="68">
        <f>VLOOKUP(A50,'Valuation '!$A$2:$D$52,4,FALSE)</f>
        <v>826389739</v>
      </c>
      <c r="E50" s="68">
        <v>819629291</v>
      </c>
      <c r="F50" s="68">
        <v>817874100</v>
      </c>
      <c r="G50" s="23">
        <f t="shared" si="2"/>
        <v>821297710</v>
      </c>
      <c r="H50" s="23">
        <f t="shared" si="3"/>
        <v>821297710</v>
      </c>
    </row>
    <row r="51" spans="1:8" x14ac:dyDescent="0.25">
      <c r="A51" t="s">
        <v>197</v>
      </c>
      <c r="B51" t="s">
        <v>198</v>
      </c>
      <c r="C51" t="s">
        <v>249</v>
      </c>
      <c r="D51" s="68">
        <f>VLOOKUP(A51,'Valuation '!$A$2:$D$52,4,FALSE)</f>
        <v>2843523720</v>
      </c>
      <c r="E51" s="68">
        <v>2524741070</v>
      </c>
      <c r="F51" s="68">
        <v>2192471680</v>
      </c>
      <c r="G51" s="23">
        <f t="shared" si="2"/>
        <v>2520245490</v>
      </c>
      <c r="H51" s="23">
        <f t="shared" si="3"/>
        <v>2520245490</v>
      </c>
    </row>
    <row r="52" spans="1:8" x14ac:dyDescent="0.25">
      <c r="A52" s="135" t="s">
        <v>914</v>
      </c>
      <c r="B52" t="s">
        <v>250</v>
      </c>
      <c r="C52" t="s">
        <v>317</v>
      </c>
      <c r="D52" s="68">
        <f>SUM(D3:D51)</f>
        <v>260692326204</v>
      </c>
      <c r="E52" s="68">
        <f t="shared" ref="E52:H52" si="4">SUM(E3:E51)</f>
        <v>223921764775</v>
      </c>
      <c r="F52" s="68">
        <f t="shared" si="4"/>
        <v>212960175823</v>
      </c>
      <c r="G52" s="68">
        <f t="shared" si="4"/>
        <v>232524755600.66663</v>
      </c>
      <c r="H52" s="68">
        <f t="shared" si="4"/>
        <v>232524755600.66663</v>
      </c>
    </row>
    <row r="58" spans="1:8" x14ac:dyDescent="0.25">
      <c r="D58" s="68"/>
      <c r="E58" s="68"/>
      <c r="F58" s="68"/>
    </row>
  </sheetData>
  <autoFilter ref="A2:H51" xr:uid="{A2B5630B-8F2B-4277-913C-4EBB6950247B}"/>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6085B-3B42-4CE5-9E49-17EA72FC5B27}">
  <dimension ref="A1:R54"/>
  <sheetViews>
    <sheetView workbookViewId="0">
      <pane xSplit="3" ySplit="4" topLeftCell="D35" activePane="bottomRight" state="frozen"/>
      <selection pane="topRight" activeCell="D1" sqref="D1"/>
      <selection pane="bottomLeft" activeCell="A3" sqref="A3"/>
      <selection pane="bottomRight" activeCell="I58" sqref="I58"/>
    </sheetView>
  </sheetViews>
  <sheetFormatPr defaultRowHeight="15" x14ac:dyDescent="0.25"/>
  <cols>
    <col min="1" max="1" width="7.5703125" bestFit="1" customWidth="1"/>
    <col min="2" max="2" width="46" bestFit="1" customWidth="1"/>
    <col min="3" max="3" width="13.140625" bestFit="1" customWidth="1"/>
    <col min="4" max="4" width="13.140625" customWidth="1"/>
    <col min="5" max="9" width="11.85546875" bestFit="1" customWidth="1"/>
    <col min="10" max="11" width="14.28515625" bestFit="1" customWidth="1"/>
    <col min="12" max="12" width="13.28515625" bestFit="1" customWidth="1"/>
    <col min="13" max="13" width="14.28515625" bestFit="1" customWidth="1"/>
    <col min="14" max="14" width="13.28515625" bestFit="1" customWidth="1"/>
    <col min="15" max="15" width="15.28515625" bestFit="1" customWidth="1"/>
    <col min="16" max="16" width="11.85546875" bestFit="1" customWidth="1"/>
    <col min="17" max="17" width="13.28515625" bestFit="1" customWidth="1"/>
    <col min="18" max="18" width="15.28515625" bestFit="1" customWidth="1"/>
  </cols>
  <sheetData>
    <row r="1" spans="1:18" x14ac:dyDescent="0.25">
      <c r="B1" s="16"/>
      <c r="C1" s="9"/>
      <c r="F1" s="16" t="s">
        <v>263</v>
      </c>
      <c r="G1" s="107">
        <f>'Detailed SFPR'!L12</f>
        <v>9855.6200000000008</v>
      </c>
      <c r="I1" t="s">
        <v>385</v>
      </c>
      <c r="J1" t="s">
        <v>386</v>
      </c>
      <c r="K1" t="s">
        <v>387</v>
      </c>
      <c r="L1" t="s">
        <v>388</v>
      </c>
      <c r="M1" t="s">
        <v>389</v>
      </c>
      <c r="O1" t="s">
        <v>425</v>
      </c>
    </row>
    <row r="2" spans="1:18" x14ac:dyDescent="0.25">
      <c r="I2" s="22">
        <v>0.623</v>
      </c>
      <c r="J2" s="22">
        <v>0.59050000000000002</v>
      </c>
      <c r="K2" s="22">
        <v>0.21540000000000001</v>
      </c>
      <c r="L2" s="22">
        <v>0.183</v>
      </c>
      <c r="M2" s="22">
        <v>0.157</v>
      </c>
      <c r="O2" s="22">
        <v>2.9399999999999999E-2</v>
      </c>
    </row>
    <row r="3" spans="1:18" x14ac:dyDescent="0.25">
      <c r="A3">
        <v>1</v>
      </c>
      <c r="B3">
        <v>2</v>
      </c>
      <c r="C3">
        <v>3</v>
      </c>
      <c r="D3">
        <v>4</v>
      </c>
      <c r="E3">
        <v>5</v>
      </c>
      <c r="F3">
        <v>6</v>
      </c>
      <c r="G3">
        <v>7</v>
      </c>
      <c r="H3">
        <v>8</v>
      </c>
      <c r="I3">
        <v>9</v>
      </c>
      <c r="J3">
        <v>10</v>
      </c>
      <c r="K3">
        <v>11</v>
      </c>
      <c r="L3">
        <v>12</v>
      </c>
      <c r="M3">
        <v>13</v>
      </c>
      <c r="N3">
        <v>14</v>
      </c>
      <c r="O3">
        <v>15</v>
      </c>
      <c r="P3">
        <v>16</v>
      </c>
      <c r="Q3">
        <v>17</v>
      </c>
      <c r="R3">
        <v>18</v>
      </c>
    </row>
    <row r="4" spans="1:18" s="4" customFormat="1" ht="45" x14ac:dyDescent="0.25">
      <c r="A4" s="4" t="s">
        <v>93</v>
      </c>
      <c r="B4" s="3" t="s">
        <v>940</v>
      </c>
      <c r="C4" s="4" t="s">
        <v>95</v>
      </c>
      <c r="D4" s="3" t="s">
        <v>391</v>
      </c>
      <c r="E4" s="3" t="s">
        <v>426</v>
      </c>
      <c r="F4" s="3" t="s">
        <v>427</v>
      </c>
      <c r="G4" s="3" t="s">
        <v>428</v>
      </c>
      <c r="H4" s="3" t="s">
        <v>429</v>
      </c>
      <c r="I4" s="3" t="s">
        <v>430</v>
      </c>
      <c r="J4" s="3" t="s">
        <v>431</v>
      </c>
      <c r="K4" s="3" t="s">
        <v>432</v>
      </c>
      <c r="L4" s="3" t="s">
        <v>433</v>
      </c>
      <c r="M4" s="3" t="s">
        <v>434</v>
      </c>
      <c r="N4" s="3" t="s">
        <v>435</v>
      </c>
      <c r="O4" s="3" t="s">
        <v>436</v>
      </c>
      <c r="P4" s="3" t="s">
        <v>437</v>
      </c>
      <c r="Q4" s="2" t="s">
        <v>438</v>
      </c>
      <c r="R4" s="3" t="s">
        <v>439</v>
      </c>
    </row>
    <row r="5" spans="1:18" x14ac:dyDescent="0.25">
      <c r="A5" t="s">
        <v>101</v>
      </c>
      <c r="B5" t="s">
        <v>102</v>
      </c>
      <c r="C5" t="s">
        <v>202</v>
      </c>
      <c r="D5" s="21">
        <f>VLOOKUP(A5,'State Share Base Cost'!$A$3:$H$52,8,FALSE)</f>
        <v>0.85580112399999997</v>
      </c>
      <c r="E5" s="1">
        <f>VLOOKUP(A5,'ADM Data'!$A$2:$S$52,15,FALSE)</f>
        <v>352.65522399999998</v>
      </c>
      <c r="F5" s="1">
        <f>VLOOKUP(A5,'ADM Data'!$A$2:$S$52,16,FALSE)</f>
        <v>119.060974</v>
      </c>
      <c r="G5" s="1">
        <f>VLOOKUP(A5,'ADM Data'!$A$2:$S$52,17,FALSE)</f>
        <v>20.519238999999999</v>
      </c>
      <c r="H5" s="1">
        <f>VLOOKUP(A5,'ADM Data'!$A$2:$S$52,18,FALSE)</f>
        <v>327.47229299999998</v>
      </c>
      <c r="I5" s="1">
        <f>VLOOKUP(A5,'ADM Data'!$A$2:$S$52,19,FALSE)</f>
        <v>26.301631</v>
      </c>
      <c r="J5" s="9">
        <f>E5*$I$2*$G$1*D5</f>
        <v>1853084.2761020476</v>
      </c>
      <c r="K5" s="9">
        <f>F5*$J$2*$G$1*D5</f>
        <v>592988.3152531198</v>
      </c>
      <c r="L5" s="9">
        <f>G5*$K$2*$G$1*D5</f>
        <v>37278.95688334023</v>
      </c>
      <c r="M5" s="9">
        <f>H5*$L$2*$G$1*D5</f>
        <v>505454.94912409538</v>
      </c>
      <c r="N5" s="9">
        <f>I5*$M$2*$G$1*D5</f>
        <v>34828.850061325036</v>
      </c>
      <c r="O5" s="9">
        <f>J5+K5+L5+M5+N5</f>
        <v>3023635.3474239279</v>
      </c>
      <c r="P5" s="1">
        <f>E5+F5+G5+H5+I5</f>
        <v>846.0093609999999</v>
      </c>
      <c r="Q5" s="9">
        <f>P5*$O$2*$G$1*D5</f>
        <v>209787.35221080275</v>
      </c>
      <c r="R5" s="9">
        <f>O5+Q5</f>
        <v>3233422.6996347308</v>
      </c>
    </row>
    <row r="6" spans="1:18" x14ac:dyDescent="0.25">
      <c r="A6" t="s">
        <v>103</v>
      </c>
      <c r="B6" t="s">
        <v>104</v>
      </c>
      <c r="C6" t="s">
        <v>203</v>
      </c>
      <c r="D6" s="21">
        <f>VLOOKUP(A6,'State Share Base Cost'!$A$3:$H$52,8,FALSE)</f>
        <v>0.90951470899999998</v>
      </c>
      <c r="E6" s="1">
        <f>VLOOKUP(A6,'ADM Data'!$A$2:$S$52,15,FALSE)</f>
        <v>193.44576599999999</v>
      </c>
      <c r="F6" s="1">
        <f>VLOOKUP(A6,'ADM Data'!$A$2:$S$52,16,FALSE)</f>
        <v>90.471620000000001</v>
      </c>
      <c r="G6" s="1">
        <f>VLOOKUP(A6,'ADM Data'!$A$2:$S$52,17,FALSE)</f>
        <v>0</v>
      </c>
      <c r="H6" s="1">
        <f>VLOOKUP(A6,'ADM Data'!$A$2:$S$52,18,FALSE)</f>
        <v>200.577494</v>
      </c>
      <c r="I6" s="1">
        <f>VLOOKUP(A6,'ADM Data'!$A$2:$S$52,19,FALSE)</f>
        <v>0</v>
      </c>
      <c r="J6" s="9">
        <f t="shared" ref="J6:J53" si="0">E6*$I$2*$G$1*D6</f>
        <v>1080291.4839396488</v>
      </c>
      <c r="K6" s="9">
        <f t="shared" ref="K6:K53" si="1">F6*$J$2*$G$1*D6</f>
        <v>478879.16925752693</v>
      </c>
      <c r="L6" s="9">
        <f t="shared" ref="L6:L53" si="2">G6*$K$2*$G$1*D6</f>
        <v>0</v>
      </c>
      <c r="M6" s="9">
        <f t="shared" ref="M6:M53" si="3">H6*$L$2*$G$1*D6</f>
        <v>329023.5379061405</v>
      </c>
      <c r="N6" s="9">
        <f t="shared" ref="N6:N53" si="4">I6*$M$2*$G$1*D6</f>
        <v>0</v>
      </c>
      <c r="O6" s="9">
        <f t="shared" ref="O6:O53" si="5">J6+K6+L6+M6+N6</f>
        <v>1888194.1911033164</v>
      </c>
      <c r="P6" s="1">
        <f t="shared" ref="P6:P53" si="6">E6+F6+G6+H6+I6</f>
        <v>484.49487999999997</v>
      </c>
      <c r="Q6" s="9">
        <f t="shared" ref="Q6:Q53" si="7">P6*$O$2*$G$1*D6</f>
        <v>127682.15368114537</v>
      </c>
      <c r="R6" s="9">
        <f t="shared" ref="R6:R53" si="8">O6+Q6</f>
        <v>2015876.3447844617</v>
      </c>
    </row>
    <row r="7" spans="1:18" x14ac:dyDescent="0.25">
      <c r="A7" t="s">
        <v>105</v>
      </c>
      <c r="B7" t="s">
        <v>106</v>
      </c>
      <c r="C7" t="s">
        <v>204</v>
      </c>
      <c r="D7" s="21">
        <f>VLOOKUP(A7,'State Share Base Cost'!$A$3:$H$52,8,FALSE)</f>
        <v>0.84198645500000002</v>
      </c>
      <c r="E7" s="1">
        <f>VLOOKUP(A7,'ADM Data'!$A$2:$S$52,15,FALSE)</f>
        <v>231.584318</v>
      </c>
      <c r="F7" s="1">
        <f>VLOOKUP(A7,'ADM Data'!$A$2:$S$52,16,FALSE)</f>
        <v>85.597744000000006</v>
      </c>
      <c r="G7" s="1">
        <f>VLOOKUP(A7,'ADM Data'!$A$2:$S$52,17,FALSE)</f>
        <v>0</v>
      </c>
      <c r="H7" s="1">
        <f>VLOOKUP(A7,'ADM Data'!$A$2:$S$52,18,FALSE)</f>
        <v>220.37903299999999</v>
      </c>
      <c r="I7" s="1">
        <f>VLOOKUP(A7,'ADM Data'!$A$2:$S$52,19,FALSE)</f>
        <v>0</v>
      </c>
      <c r="J7" s="9">
        <f t="shared" si="0"/>
        <v>1197253.8691624035</v>
      </c>
      <c r="K7" s="9">
        <f t="shared" si="1"/>
        <v>419441.3821983271</v>
      </c>
      <c r="L7" s="9">
        <f t="shared" si="2"/>
        <v>0</v>
      </c>
      <c r="M7" s="9">
        <f t="shared" si="3"/>
        <v>334665.09465260105</v>
      </c>
      <c r="N7" s="9">
        <f t="shared" si="4"/>
        <v>0</v>
      </c>
      <c r="O7" s="9">
        <f t="shared" si="5"/>
        <v>1951360.3460133318</v>
      </c>
      <c r="P7" s="1">
        <f t="shared" si="6"/>
        <v>537.56109500000002</v>
      </c>
      <c r="Q7" s="9">
        <f t="shared" si="7"/>
        <v>131148.76811303184</v>
      </c>
      <c r="R7" s="9">
        <f t="shared" si="8"/>
        <v>2082509.1141263635</v>
      </c>
    </row>
    <row r="8" spans="1:18" x14ac:dyDescent="0.25">
      <c r="A8" t="s">
        <v>107</v>
      </c>
      <c r="B8" t="s">
        <v>108</v>
      </c>
      <c r="C8" t="s">
        <v>205</v>
      </c>
      <c r="D8" s="21">
        <f>VLOOKUP(A8,'State Share Base Cost'!$A$3:$H$52,8,FALSE)</f>
        <v>0.73185130700000001</v>
      </c>
      <c r="E8" s="1">
        <f>VLOOKUP(A8,'ADM Data'!$A$2:$S$52,15,FALSE)</f>
        <v>193.302853</v>
      </c>
      <c r="F8" s="1">
        <f>VLOOKUP(A8,'ADM Data'!$A$2:$S$52,16,FALSE)</f>
        <v>77.167164</v>
      </c>
      <c r="G8" s="1">
        <f>VLOOKUP(A8,'ADM Data'!$A$2:$S$52,17,FALSE)</f>
        <v>0</v>
      </c>
      <c r="H8" s="1">
        <f>VLOOKUP(A8,'ADM Data'!$A$2:$S$52,18,FALSE)</f>
        <v>175.557852</v>
      </c>
      <c r="I8" s="1">
        <f>VLOOKUP(A8,'ADM Data'!$A$2:$S$52,19,FALSE)</f>
        <v>0</v>
      </c>
      <c r="J8" s="9">
        <f t="shared" si="0"/>
        <v>868626.57777350862</v>
      </c>
      <c r="K8" s="9">
        <f t="shared" si="1"/>
        <v>328669.37921873742</v>
      </c>
      <c r="L8" s="9">
        <f t="shared" si="2"/>
        <v>0</v>
      </c>
      <c r="M8" s="9">
        <f t="shared" si="3"/>
        <v>231727.80676142403</v>
      </c>
      <c r="N8" s="9">
        <f t="shared" si="4"/>
        <v>0</v>
      </c>
      <c r="O8" s="9">
        <f t="shared" si="5"/>
        <v>1429023.76375367</v>
      </c>
      <c r="P8" s="1">
        <f t="shared" si="6"/>
        <v>446.02786900000001</v>
      </c>
      <c r="Q8" s="9">
        <f t="shared" si="7"/>
        <v>94583.662912780594</v>
      </c>
      <c r="R8" s="9">
        <f t="shared" si="8"/>
        <v>1523607.4266664507</v>
      </c>
    </row>
    <row r="9" spans="1:18" x14ac:dyDescent="0.25">
      <c r="A9" t="s">
        <v>109</v>
      </c>
      <c r="B9" t="s">
        <v>110</v>
      </c>
      <c r="C9" t="s">
        <v>206</v>
      </c>
      <c r="D9" s="21">
        <f>VLOOKUP(A9,'State Share Base Cost'!$A$3:$H$52,8,FALSE)</f>
        <v>0.82125809299999997</v>
      </c>
      <c r="E9" s="1">
        <f>VLOOKUP(A9,'ADM Data'!$A$2:$S$52,15,FALSE)</f>
        <v>1186.3116889999999</v>
      </c>
      <c r="F9" s="1">
        <f>VLOOKUP(A9,'ADM Data'!$A$2:$S$52,16,FALSE)</f>
        <v>729.54966000000002</v>
      </c>
      <c r="G9" s="1">
        <f>VLOOKUP(A9,'ADM Data'!$A$2:$S$52,17,FALSE)</f>
        <v>65.255688000000006</v>
      </c>
      <c r="H9" s="1">
        <f>VLOOKUP(A9,'ADM Data'!$A$2:$S$52,18,FALSE)</f>
        <v>646.63277700000003</v>
      </c>
      <c r="I9" s="1">
        <f>VLOOKUP(A9,'ADM Data'!$A$2:$S$52,19,FALSE)</f>
        <v>163.12199000000001</v>
      </c>
      <c r="J9" s="9">
        <f t="shared" si="0"/>
        <v>5982055.9240096845</v>
      </c>
      <c r="K9" s="9">
        <f t="shared" si="1"/>
        <v>3486891.0181687744</v>
      </c>
      <c r="L9" s="9">
        <f t="shared" si="2"/>
        <v>113769.98067242988</v>
      </c>
      <c r="M9" s="9">
        <f t="shared" si="3"/>
        <v>957794.67213455867</v>
      </c>
      <c r="N9" s="9">
        <f t="shared" si="4"/>
        <v>207288.77062169311</v>
      </c>
      <c r="O9" s="9">
        <f t="shared" si="5"/>
        <v>10747800.365607141</v>
      </c>
      <c r="P9" s="1">
        <f t="shared" si="6"/>
        <v>2790.8718039999999</v>
      </c>
      <c r="Q9" s="9">
        <f t="shared" si="7"/>
        <v>664126.53231087606</v>
      </c>
      <c r="R9" s="9">
        <f t="shared" si="8"/>
        <v>11411926.897918016</v>
      </c>
    </row>
    <row r="10" spans="1:18" x14ac:dyDescent="0.25">
      <c r="A10" t="s">
        <v>111</v>
      </c>
      <c r="B10" t="s">
        <v>112</v>
      </c>
      <c r="C10" t="s">
        <v>207</v>
      </c>
      <c r="D10" s="21">
        <f>VLOOKUP(A10,'State Share Base Cost'!$A$3:$H$52,8,FALSE)</f>
        <v>0.77544779200000002</v>
      </c>
      <c r="E10" s="1">
        <f>VLOOKUP(A10,'ADM Data'!$A$2:$S$52,15,FALSE)</f>
        <v>124.706869</v>
      </c>
      <c r="F10" s="1">
        <f>VLOOKUP(A10,'ADM Data'!$A$2:$S$52,16,FALSE)</f>
        <v>62.956569000000002</v>
      </c>
      <c r="G10" s="1">
        <f>VLOOKUP(A10,'ADM Data'!$A$2:$S$52,17,FALSE)</f>
        <v>0</v>
      </c>
      <c r="H10" s="1">
        <f>VLOOKUP(A10,'ADM Data'!$A$2:$S$52,18,FALSE)</f>
        <v>90.897367000000003</v>
      </c>
      <c r="I10" s="1">
        <f>VLOOKUP(A10,'ADM Data'!$A$2:$S$52,19,FALSE)</f>
        <v>0</v>
      </c>
      <c r="J10" s="9">
        <f t="shared" si="0"/>
        <v>593765.46757948934</v>
      </c>
      <c r="K10" s="9">
        <f t="shared" si="1"/>
        <v>284117.16186162579</v>
      </c>
      <c r="L10" s="9">
        <f t="shared" si="2"/>
        <v>0</v>
      </c>
      <c r="M10" s="9">
        <f t="shared" si="3"/>
        <v>127127.32448297308</v>
      </c>
      <c r="N10" s="9">
        <f t="shared" si="4"/>
        <v>0</v>
      </c>
      <c r="O10" s="9">
        <f t="shared" si="5"/>
        <v>1005009.9539240882</v>
      </c>
      <c r="P10" s="1">
        <f t="shared" si="6"/>
        <v>278.56080499999996</v>
      </c>
      <c r="Q10" s="9">
        <f t="shared" si="7"/>
        <v>62589.841697394324</v>
      </c>
      <c r="R10" s="9">
        <f t="shared" si="8"/>
        <v>1067599.7956214824</v>
      </c>
    </row>
    <row r="11" spans="1:18" x14ac:dyDescent="0.25">
      <c r="A11" t="s">
        <v>113</v>
      </c>
      <c r="B11" t="s">
        <v>114</v>
      </c>
      <c r="C11" t="s">
        <v>208</v>
      </c>
      <c r="D11" s="21">
        <f>VLOOKUP(A11,'State Share Base Cost'!$A$3:$H$52,8,FALSE)</f>
        <v>0.21452795799999999</v>
      </c>
      <c r="E11" s="1">
        <f>VLOOKUP(A11,'ADM Data'!$A$2:$S$52,15,FALSE)</f>
        <v>188.73397399999999</v>
      </c>
      <c r="F11" s="1">
        <f>VLOOKUP(A11,'ADM Data'!$A$2:$S$52,16,FALSE)</f>
        <v>152.239316</v>
      </c>
      <c r="G11" s="1">
        <f>VLOOKUP(A11,'ADM Data'!$A$2:$S$52,17,FALSE)</f>
        <v>2.1727660000000002</v>
      </c>
      <c r="H11" s="1">
        <f>VLOOKUP(A11,'ADM Data'!$A$2:$S$52,18,FALSE)</f>
        <v>16.948967</v>
      </c>
      <c r="I11" s="1">
        <f>VLOOKUP(A11,'ADM Data'!$A$2:$S$52,19,FALSE)</f>
        <v>0</v>
      </c>
      <c r="J11" s="9">
        <f t="shared" si="0"/>
        <v>248602.77970279491</v>
      </c>
      <c r="K11" s="9">
        <f t="shared" si="1"/>
        <v>190070.4378146223</v>
      </c>
      <c r="L11" s="9">
        <f t="shared" si="2"/>
        <v>989.52439345417304</v>
      </c>
      <c r="M11" s="9">
        <f t="shared" si="3"/>
        <v>6557.860483477858</v>
      </c>
      <c r="N11" s="9">
        <f t="shared" si="4"/>
        <v>0</v>
      </c>
      <c r="O11" s="9">
        <f t="shared" si="5"/>
        <v>446220.60239434929</v>
      </c>
      <c r="P11" s="1">
        <f t="shared" si="6"/>
        <v>360.09502300000003</v>
      </c>
      <c r="Q11" s="9">
        <f t="shared" si="7"/>
        <v>22383.721744204289</v>
      </c>
      <c r="R11" s="9">
        <f t="shared" si="8"/>
        <v>468604.32413855358</v>
      </c>
    </row>
    <row r="12" spans="1:18" x14ac:dyDescent="0.25">
      <c r="A12" t="s">
        <v>115</v>
      </c>
      <c r="B12" t="s">
        <v>116</v>
      </c>
      <c r="C12" t="s">
        <v>208</v>
      </c>
      <c r="D12" s="21">
        <f>VLOOKUP(A12,'State Share Base Cost'!$A$3:$H$52,8,FALSE)</f>
        <v>0.55386008499999995</v>
      </c>
      <c r="E12" s="1">
        <f>VLOOKUP(A12,'ADM Data'!$A$2:$S$52,15,FALSE)</f>
        <v>251.04965200000001</v>
      </c>
      <c r="F12" s="1">
        <f>VLOOKUP(A12,'ADM Data'!$A$2:$S$52,16,FALSE)</f>
        <v>149.92208600000001</v>
      </c>
      <c r="G12" s="1">
        <f>VLOOKUP(A12,'ADM Data'!$A$2:$S$52,17,FALSE)</f>
        <v>0</v>
      </c>
      <c r="H12" s="1">
        <f>VLOOKUP(A12,'ADM Data'!$A$2:$S$52,18,FALSE)</f>
        <v>14.914020000000001</v>
      </c>
      <c r="I12" s="1">
        <f>VLOOKUP(A12,'ADM Data'!$A$2:$S$52,19,FALSE)</f>
        <v>0</v>
      </c>
      <c r="J12" s="9">
        <f t="shared" si="0"/>
        <v>853751.91051659477</v>
      </c>
      <c r="K12" s="9">
        <f t="shared" si="1"/>
        <v>483247.41153489845</v>
      </c>
      <c r="L12" s="9">
        <f t="shared" si="2"/>
        <v>0</v>
      </c>
      <c r="M12" s="9">
        <f t="shared" si="3"/>
        <v>14898.063775751179</v>
      </c>
      <c r="N12" s="9">
        <f t="shared" si="4"/>
        <v>0</v>
      </c>
      <c r="O12" s="9">
        <f t="shared" si="5"/>
        <v>1351897.3858272445</v>
      </c>
      <c r="P12" s="1">
        <f t="shared" si="6"/>
        <v>415.88575800000001</v>
      </c>
      <c r="Q12" s="9">
        <f t="shared" si="7"/>
        <v>66742.949770471329</v>
      </c>
      <c r="R12" s="9">
        <f t="shared" si="8"/>
        <v>1418640.3355977158</v>
      </c>
    </row>
    <row r="13" spans="1:18" x14ac:dyDescent="0.25">
      <c r="A13" t="s">
        <v>117</v>
      </c>
      <c r="B13" t="s">
        <v>118</v>
      </c>
      <c r="C13" t="s">
        <v>209</v>
      </c>
      <c r="D13" s="21">
        <f>VLOOKUP(A13,'State Share Base Cost'!$A$3:$H$52,8,FALSE)</f>
        <v>0.77675368700000003</v>
      </c>
      <c r="E13" s="1">
        <f>VLOOKUP(A13,'ADM Data'!$A$2:$S$52,15,FALSE)</f>
        <v>310.09297500000002</v>
      </c>
      <c r="F13" s="1">
        <f>VLOOKUP(A13,'ADM Data'!$A$2:$S$52,16,FALSE)</f>
        <v>172.202055</v>
      </c>
      <c r="G13" s="1">
        <f>VLOOKUP(A13,'ADM Data'!$A$2:$S$52,17,FALSE)</f>
        <v>21.356421999999998</v>
      </c>
      <c r="H13" s="1">
        <f>VLOOKUP(A13,'ADM Data'!$A$2:$S$52,18,FALSE)</f>
        <v>311.65357799999998</v>
      </c>
      <c r="I13" s="1">
        <f>VLOOKUP(A13,'ADM Data'!$A$2:$S$52,19,FALSE)</f>
        <v>15.743404999999999</v>
      </c>
      <c r="J13" s="9">
        <f t="shared" si="0"/>
        <v>1478928.7372785278</v>
      </c>
      <c r="K13" s="9">
        <f t="shared" si="1"/>
        <v>778440.64781530399</v>
      </c>
      <c r="L13" s="9">
        <f t="shared" si="2"/>
        <v>35216.116864043477</v>
      </c>
      <c r="M13" s="9">
        <f t="shared" si="3"/>
        <v>436606.78507610055</v>
      </c>
      <c r="N13" s="9">
        <f t="shared" si="4"/>
        <v>18921.937071941848</v>
      </c>
      <c r="O13" s="9">
        <f t="shared" si="5"/>
        <v>2748114.2241059174</v>
      </c>
      <c r="P13" s="1">
        <f t="shared" si="6"/>
        <v>831.04843500000004</v>
      </c>
      <c r="Q13" s="9">
        <f t="shared" si="7"/>
        <v>187042.77622316542</v>
      </c>
      <c r="R13" s="9">
        <f t="shared" si="8"/>
        <v>2935157.0003290828</v>
      </c>
    </row>
    <row r="14" spans="1:18" x14ac:dyDescent="0.25">
      <c r="A14" t="s">
        <v>119</v>
      </c>
      <c r="B14" t="s">
        <v>120</v>
      </c>
      <c r="C14" t="s">
        <v>210</v>
      </c>
      <c r="D14" s="21">
        <f>VLOOKUP(A14,'State Share Base Cost'!$A$3:$H$52,8,FALSE)</f>
        <v>0.45174148600000003</v>
      </c>
      <c r="E14" s="1">
        <f>VLOOKUP(A14,'ADM Data'!$A$2:$S$52,15,FALSE)</f>
        <v>413.319211</v>
      </c>
      <c r="F14" s="1">
        <f>VLOOKUP(A14,'ADM Data'!$A$2:$S$52,16,FALSE)</f>
        <v>116.22977400000001</v>
      </c>
      <c r="G14" s="1">
        <f>VLOOKUP(A14,'ADM Data'!$A$2:$S$52,17,FALSE)</f>
        <v>42.941482000000001</v>
      </c>
      <c r="H14" s="1">
        <f>VLOOKUP(A14,'ADM Data'!$A$2:$S$52,18,FALSE)</f>
        <v>152.96333999999999</v>
      </c>
      <c r="I14" s="1">
        <f>VLOOKUP(A14,'ADM Data'!$A$2:$S$52,19,FALSE)</f>
        <v>0</v>
      </c>
      <c r="J14" s="9">
        <f t="shared" si="0"/>
        <v>1146430.0591873098</v>
      </c>
      <c r="K14" s="9">
        <f t="shared" si="1"/>
        <v>305570.35703203105</v>
      </c>
      <c r="L14" s="9">
        <f t="shared" si="2"/>
        <v>41180.977778341367</v>
      </c>
      <c r="M14" s="9">
        <f t="shared" si="3"/>
        <v>124627.06690712077</v>
      </c>
      <c r="N14" s="9">
        <f t="shared" si="4"/>
        <v>0</v>
      </c>
      <c r="O14" s="9">
        <f t="shared" si="5"/>
        <v>1617808.4609048031</v>
      </c>
      <c r="P14" s="1">
        <f t="shared" si="6"/>
        <v>725.45380699999998</v>
      </c>
      <c r="Q14" s="9">
        <f t="shared" si="7"/>
        <v>94957.882343888588</v>
      </c>
      <c r="R14" s="9">
        <f t="shared" si="8"/>
        <v>1712766.3432486916</v>
      </c>
    </row>
    <row r="15" spans="1:18" x14ac:dyDescent="0.25">
      <c r="A15" t="s">
        <v>121</v>
      </c>
      <c r="B15" t="s">
        <v>122</v>
      </c>
      <c r="C15" t="s">
        <v>211</v>
      </c>
      <c r="D15" s="21">
        <f>VLOOKUP(A15,'State Share Base Cost'!$A$3:$H$52,8,FALSE)</f>
        <v>0.58745953900000003</v>
      </c>
      <c r="E15" s="1">
        <f>VLOOKUP(A15,'ADM Data'!$A$2:$S$52,15,FALSE)</f>
        <v>414.40350999999998</v>
      </c>
      <c r="F15" s="1">
        <f>VLOOKUP(A15,'ADM Data'!$A$2:$S$52,16,FALSE)</f>
        <v>270.74490500000002</v>
      </c>
      <c r="G15" s="1">
        <f>VLOOKUP(A15,'ADM Data'!$A$2:$S$52,17,FALSE)</f>
        <v>0</v>
      </c>
      <c r="H15" s="1">
        <f>VLOOKUP(A15,'ADM Data'!$A$2:$S$52,18,FALSE)</f>
        <v>476.487234</v>
      </c>
      <c r="I15" s="1">
        <f>VLOOKUP(A15,'ADM Data'!$A$2:$S$52,19,FALSE)</f>
        <v>0</v>
      </c>
      <c r="J15" s="9">
        <f t="shared" si="0"/>
        <v>1494766.5899655519</v>
      </c>
      <c r="K15" s="9">
        <f t="shared" si="1"/>
        <v>925639.98133388523</v>
      </c>
      <c r="L15" s="9">
        <f t="shared" si="2"/>
        <v>0</v>
      </c>
      <c r="M15" s="9">
        <f t="shared" si="3"/>
        <v>504852.21916846378</v>
      </c>
      <c r="N15" s="9">
        <f t="shared" si="4"/>
        <v>0</v>
      </c>
      <c r="O15" s="9">
        <f t="shared" si="5"/>
        <v>2925258.7904679007</v>
      </c>
      <c r="P15" s="1">
        <f t="shared" si="6"/>
        <v>1161.6356490000001</v>
      </c>
      <c r="Q15" s="9">
        <f t="shared" si="7"/>
        <v>197733.00760015805</v>
      </c>
      <c r="R15" s="9">
        <f t="shared" si="8"/>
        <v>3122991.7980680587</v>
      </c>
    </row>
    <row r="16" spans="1:18" x14ac:dyDescent="0.25">
      <c r="A16" t="s">
        <v>123</v>
      </c>
      <c r="B16" t="s">
        <v>124</v>
      </c>
      <c r="C16" t="s">
        <v>212</v>
      </c>
      <c r="D16" s="21">
        <f>VLOOKUP(A16,'State Share Base Cost'!$A$3:$H$52,8,FALSE)</f>
        <v>0.73536283999999996</v>
      </c>
      <c r="E16" s="1">
        <f>VLOOKUP(A16,'ADM Data'!$A$2:$S$52,15,FALSE)</f>
        <v>183.743312</v>
      </c>
      <c r="F16" s="1">
        <f>VLOOKUP(A16,'ADM Data'!$A$2:$S$52,16,FALSE)</f>
        <v>168.841488</v>
      </c>
      <c r="G16" s="1">
        <f>VLOOKUP(A16,'ADM Data'!$A$2:$S$52,17,FALSE)</f>
        <v>33.299351000000001</v>
      </c>
      <c r="H16" s="1">
        <f>VLOOKUP(A16,'ADM Data'!$A$2:$S$52,18,FALSE)</f>
        <v>299.88319000000001</v>
      </c>
      <c r="I16" s="1">
        <f>VLOOKUP(A16,'ADM Data'!$A$2:$S$52,19,FALSE)</f>
        <v>0</v>
      </c>
      <c r="J16" s="9">
        <f t="shared" si="0"/>
        <v>829631.46913289407</v>
      </c>
      <c r="K16" s="9">
        <f t="shared" si="1"/>
        <v>722577.94733057148</v>
      </c>
      <c r="L16" s="9">
        <f t="shared" si="2"/>
        <v>51983.689305981825</v>
      </c>
      <c r="M16" s="9">
        <f t="shared" si="3"/>
        <v>397730.4502509124</v>
      </c>
      <c r="N16" s="9">
        <f t="shared" si="4"/>
        <v>0</v>
      </c>
      <c r="O16" s="9">
        <f t="shared" si="5"/>
        <v>2001923.5560203597</v>
      </c>
      <c r="P16" s="1">
        <f t="shared" si="6"/>
        <v>685.76734099999999</v>
      </c>
      <c r="Q16" s="9">
        <f t="shared" si="7"/>
        <v>146120.03210438829</v>
      </c>
      <c r="R16" s="9">
        <f t="shared" si="8"/>
        <v>2148043.5881247479</v>
      </c>
    </row>
    <row r="17" spans="1:18" x14ac:dyDescent="0.25">
      <c r="A17" t="s">
        <v>125</v>
      </c>
      <c r="B17" t="s">
        <v>126</v>
      </c>
      <c r="C17" t="s">
        <v>213</v>
      </c>
      <c r="D17" s="21">
        <f>VLOOKUP(A17,'State Share Base Cost'!$A$3:$H$52,8,FALSE)</f>
        <v>0.77291465400000003</v>
      </c>
      <c r="E17" s="1">
        <f>VLOOKUP(A17,'ADM Data'!$A$2:$S$52,15,FALSE)</f>
        <v>469.63660900000002</v>
      </c>
      <c r="F17" s="1">
        <f>VLOOKUP(A17,'ADM Data'!$A$2:$S$52,16,FALSE)</f>
        <v>121.490364</v>
      </c>
      <c r="G17" s="1">
        <f>VLOOKUP(A17,'ADM Data'!$A$2:$S$52,17,FALSE)</f>
        <v>22.816745999999998</v>
      </c>
      <c r="H17" s="1">
        <f>VLOOKUP(A17,'ADM Data'!$A$2:$S$52,18,FALSE)</f>
        <v>330.58276799999999</v>
      </c>
      <c r="I17" s="1">
        <f>VLOOKUP(A17,'ADM Data'!$A$2:$S$52,19,FALSE)</f>
        <v>20.682818999999999</v>
      </c>
      <c r="J17" s="9">
        <f t="shared" si="0"/>
        <v>2228771.1721239649</v>
      </c>
      <c r="K17" s="9">
        <f t="shared" si="1"/>
        <v>546483.71760197752</v>
      </c>
      <c r="L17" s="9">
        <f t="shared" si="2"/>
        <v>37438.194677275009</v>
      </c>
      <c r="M17" s="9">
        <f t="shared" si="3"/>
        <v>460836.41876723338</v>
      </c>
      <c r="N17" s="9">
        <f t="shared" si="4"/>
        <v>24735.73817472771</v>
      </c>
      <c r="O17" s="9">
        <f t="shared" si="5"/>
        <v>3298265.2413451783</v>
      </c>
      <c r="P17" s="1">
        <f t="shared" si="6"/>
        <v>965.20930599999997</v>
      </c>
      <c r="Q17" s="9">
        <f t="shared" si="7"/>
        <v>216164.47497898017</v>
      </c>
      <c r="R17" s="9">
        <f t="shared" si="8"/>
        <v>3514429.7163241585</v>
      </c>
    </row>
    <row r="18" spans="1:18" x14ac:dyDescent="0.25">
      <c r="A18" t="s">
        <v>127</v>
      </c>
      <c r="B18" t="s">
        <v>128</v>
      </c>
      <c r="C18" t="s">
        <v>214</v>
      </c>
      <c r="D18" s="21">
        <f>VLOOKUP(A18,'State Share Base Cost'!$A$3:$H$52,8,FALSE)</f>
        <v>0.70158564199999995</v>
      </c>
      <c r="E18" s="1">
        <f>VLOOKUP(A18,'ADM Data'!$A$2:$S$52,15,FALSE)</f>
        <v>1544.34413</v>
      </c>
      <c r="F18" s="1">
        <f>VLOOKUP(A18,'ADM Data'!$A$2:$S$52,16,FALSE)</f>
        <v>638.79783599999996</v>
      </c>
      <c r="G18" s="1">
        <f>VLOOKUP(A18,'ADM Data'!$A$2:$S$52,17,FALSE)</f>
        <v>40.603574999999999</v>
      </c>
      <c r="H18" s="1">
        <f>VLOOKUP(A18,'ADM Data'!$A$2:$S$52,18,FALSE)</f>
        <v>1412.220873</v>
      </c>
      <c r="I18" s="1">
        <f>VLOOKUP(A18,'ADM Data'!$A$2:$S$52,19,FALSE)</f>
        <v>5.7321660000000003</v>
      </c>
      <c r="J18" s="9">
        <f t="shared" si="0"/>
        <v>6652682.1006783629</v>
      </c>
      <c r="K18" s="9">
        <f t="shared" si="1"/>
        <v>2608242.5824288847</v>
      </c>
      <c r="L18" s="9">
        <f t="shared" si="2"/>
        <v>60474.824273796054</v>
      </c>
      <c r="M18" s="9">
        <f t="shared" si="3"/>
        <v>1786974.5143889522</v>
      </c>
      <c r="N18" s="9">
        <f t="shared" si="4"/>
        <v>6222.7600371357976</v>
      </c>
      <c r="O18" s="9">
        <f t="shared" si="5"/>
        <v>11114596.781807132</v>
      </c>
      <c r="P18" s="1">
        <f t="shared" si="6"/>
        <v>3641.6985800000002</v>
      </c>
      <c r="Q18" s="9">
        <f t="shared" si="7"/>
        <v>740314.01299352827</v>
      </c>
      <c r="R18" s="9">
        <f t="shared" si="8"/>
        <v>11854910.79480066</v>
      </c>
    </row>
    <row r="19" spans="1:18" x14ac:dyDescent="0.25">
      <c r="A19" t="s">
        <v>129</v>
      </c>
      <c r="B19" t="s">
        <v>130</v>
      </c>
      <c r="C19" t="s">
        <v>215</v>
      </c>
      <c r="D19" s="21">
        <f>VLOOKUP(A19,'State Share Base Cost'!$A$3:$H$52,8,FALSE)</f>
        <v>0.76996111300000003</v>
      </c>
      <c r="E19" s="1">
        <f>VLOOKUP(A19,'ADM Data'!$A$2:$S$52,15,FALSE)</f>
        <v>105.878917</v>
      </c>
      <c r="F19" s="1">
        <f>VLOOKUP(A19,'ADM Data'!$A$2:$S$52,16,FALSE)</f>
        <v>55.238258999999999</v>
      </c>
      <c r="G19" s="1">
        <f>VLOOKUP(A19,'ADM Data'!$A$2:$S$52,17,FALSE)</f>
        <v>0</v>
      </c>
      <c r="H19" s="1">
        <f>VLOOKUP(A19,'ADM Data'!$A$2:$S$52,18,FALSE)</f>
        <v>137.45894000000001</v>
      </c>
      <c r="I19" s="1">
        <f>VLOOKUP(A19,'ADM Data'!$A$2:$S$52,19,FALSE)</f>
        <v>0</v>
      </c>
      <c r="J19" s="9">
        <f t="shared" si="0"/>
        <v>500553.24233902176</v>
      </c>
      <c r="K19" s="9">
        <f t="shared" si="1"/>
        <v>247521.32762764095</v>
      </c>
      <c r="L19" s="9">
        <f t="shared" si="2"/>
        <v>0</v>
      </c>
      <c r="M19" s="9">
        <f t="shared" si="3"/>
        <v>190887.20636857569</v>
      </c>
      <c r="N19" s="9">
        <f t="shared" si="4"/>
        <v>0</v>
      </c>
      <c r="O19" s="9">
        <f t="shared" si="5"/>
        <v>938961.77633523836</v>
      </c>
      <c r="P19" s="1">
        <f t="shared" si="6"/>
        <v>298.57611600000001</v>
      </c>
      <c r="Q19" s="9">
        <f t="shared" si="7"/>
        <v>66612.40846698836</v>
      </c>
      <c r="R19" s="9">
        <f t="shared" si="8"/>
        <v>1005574.1848022267</v>
      </c>
    </row>
    <row r="20" spans="1:18" x14ac:dyDescent="0.25">
      <c r="A20" t="s">
        <v>131</v>
      </c>
      <c r="B20" t="s">
        <v>132</v>
      </c>
      <c r="C20" t="s">
        <v>216</v>
      </c>
      <c r="D20" s="21">
        <f>VLOOKUP(A20,'State Share Base Cost'!$A$3:$H$52,8,FALSE)</f>
        <v>0.82963948899999995</v>
      </c>
      <c r="E20" s="1">
        <f>VLOOKUP(A20,'ADM Data'!$A$2:$S$52,15,FALSE)</f>
        <v>177.92130299999999</v>
      </c>
      <c r="F20" s="1">
        <f>VLOOKUP(A20,'ADM Data'!$A$2:$S$52,16,FALSE)</f>
        <v>96.069376000000005</v>
      </c>
      <c r="G20" s="1">
        <f>VLOOKUP(A20,'ADM Data'!$A$2:$S$52,17,FALSE)</f>
        <v>18.034095000000001</v>
      </c>
      <c r="H20" s="1">
        <f>VLOOKUP(A20,'ADM Data'!$A$2:$S$52,18,FALSE)</f>
        <v>193.43580800000001</v>
      </c>
      <c r="I20" s="1">
        <f>VLOOKUP(A20,'ADM Data'!$A$2:$S$52,19,FALSE)</f>
        <v>0</v>
      </c>
      <c r="J20" s="9">
        <f t="shared" si="0"/>
        <v>906336.27538146789</v>
      </c>
      <c r="K20" s="9">
        <f t="shared" si="1"/>
        <v>463850.72239791823</v>
      </c>
      <c r="L20" s="9">
        <f t="shared" si="2"/>
        <v>31762.407815410257</v>
      </c>
      <c r="M20" s="9">
        <f t="shared" si="3"/>
        <v>289441.85118985735</v>
      </c>
      <c r="N20" s="9">
        <f t="shared" si="4"/>
        <v>0</v>
      </c>
      <c r="O20" s="9">
        <f t="shared" si="5"/>
        <v>1691391.2567846538</v>
      </c>
      <c r="P20" s="1">
        <f t="shared" si="6"/>
        <v>485.46058199999999</v>
      </c>
      <c r="Q20" s="9">
        <f t="shared" si="7"/>
        <v>116701.0243599438</v>
      </c>
      <c r="R20" s="9">
        <f t="shared" si="8"/>
        <v>1808092.2811445976</v>
      </c>
    </row>
    <row r="21" spans="1:18" x14ac:dyDescent="0.25">
      <c r="A21" t="s">
        <v>133</v>
      </c>
      <c r="B21" t="s">
        <v>134</v>
      </c>
      <c r="C21" t="s">
        <v>217</v>
      </c>
      <c r="D21" s="21">
        <f>VLOOKUP(A21,'State Share Base Cost'!$A$3:$H$52,8,FALSE)</f>
        <v>0.43655084</v>
      </c>
      <c r="E21" s="1">
        <f>VLOOKUP(A21,'ADM Data'!$A$2:$S$52,15,FALSE)</f>
        <v>263.89175799999998</v>
      </c>
      <c r="F21" s="1">
        <f>VLOOKUP(A21,'ADM Data'!$A$2:$S$52,16,FALSE)</f>
        <v>149.94344699999999</v>
      </c>
      <c r="G21" s="1">
        <f>VLOOKUP(A21,'ADM Data'!$A$2:$S$52,17,FALSE)</f>
        <v>0</v>
      </c>
      <c r="H21" s="1">
        <f>VLOOKUP(A21,'ADM Data'!$A$2:$S$52,18,FALSE)</f>
        <v>12.947435</v>
      </c>
      <c r="I21" s="1">
        <f>VLOOKUP(A21,'ADM Data'!$A$2:$S$52,19,FALSE)</f>
        <v>0</v>
      </c>
      <c r="J21" s="9">
        <f t="shared" si="0"/>
        <v>707347.22061438067</v>
      </c>
      <c r="K21" s="9">
        <f t="shared" si="1"/>
        <v>380948.41488815343</v>
      </c>
      <c r="L21" s="9">
        <f t="shared" si="2"/>
        <v>0</v>
      </c>
      <c r="M21" s="9">
        <f t="shared" si="3"/>
        <v>10194.21074554058</v>
      </c>
      <c r="N21" s="9">
        <f t="shared" si="4"/>
        <v>0</v>
      </c>
      <c r="O21" s="9">
        <f t="shared" si="5"/>
        <v>1098489.8462480747</v>
      </c>
      <c r="P21" s="1">
        <f t="shared" si="6"/>
        <v>426.78263999999996</v>
      </c>
      <c r="Q21" s="9">
        <f t="shared" si="7"/>
        <v>53984.968757742645</v>
      </c>
      <c r="R21" s="9">
        <f t="shared" si="8"/>
        <v>1152474.8150058172</v>
      </c>
    </row>
    <row r="22" spans="1:18" x14ac:dyDescent="0.25">
      <c r="A22" t="s">
        <v>135</v>
      </c>
      <c r="B22" t="s">
        <v>136</v>
      </c>
      <c r="C22" t="s">
        <v>218</v>
      </c>
      <c r="D22" s="21">
        <f>VLOOKUP(A22,'State Share Base Cost'!$A$3:$H$52,8,FALSE)</f>
        <v>0.88675857800000002</v>
      </c>
      <c r="E22" s="1">
        <f>VLOOKUP(A22,'ADM Data'!$A$2:$S$52,15,FALSE)</f>
        <v>282.196867</v>
      </c>
      <c r="F22" s="1">
        <f>VLOOKUP(A22,'ADM Data'!$A$2:$S$52,16,FALSE)</f>
        <v>113.551998</v>
      </c>
      <c r="G22" s="1">
        <f>VLOOKUP(A22,'ADM Data'!$A$2:$S$52,17,FALSE)</f>
        <v>2.6251380000000002</v>
      </c>
      <c r="H22" s="1">
        <f>VLOOKUP(A22,'ADM Data'!$A$2:$S$52,18,FALSE)</f>
        <v>354.48461900000001</v>
      </c>
      <c r="I22" s="1">
        <f>VLOOKUP(A22,'ADM Data'!$A$2:$S$52,19,FALSE)</f>
        <v>10.677128</v>
      </c>
      <c r="J22" s="9">
        <f t="shared" si="0"/>
        <v>1536489.4512590726</v>
      </c>
      <c r="K22" s="9">
        <f t="shared" si="1"/>
        <v>586008.65543196641</v>
      </c>
      <c r="L22" s="9">
        <f t="shared" si="2"/>
        <v>4941.8229968846636</v>
      </c>
      <c r="M22" s="9">
        <f t="shared" si="3"/>
        <v>566940.95926452416</v>
      </c>
      <c r="N22" s="9">
        <f t="shared" si="4"/>
        <v>14650.19650789849</v>
      </c>
      <c r="O22" s="9">
        <f t="shared" si="5"/>
        <v>2709031.0854603467</v>
      </c>
      <c r="P22" s="1">
        <f t="shared" si="6"/>
        <v>763.53575000000001</v>
      </c>
      <c r="Q22" s="9">
        <f t="shared" si="7"/>
        <v>196185.11578021423</v>
      </c>
      <c r="R22" s="9">
        <f t="shared" si="8"/>
        <v>2905216.201240561</v>
      </c>
    </row>
    <row r="23" spans="1:18" x14ac:dyDescent="0.25">
      <c r="A23" t="s">
        <v>137</v>
      </c>
      <c r="B23" t="s">
        <v>138</v>
      </c>
      <c r="C23" t="s">
        <v>219</v>
      </c>
      <c r="D23" s="21">
        <f>VLOOKUP(A23,'State Share Base Cost'!$A$3:$H$52,8,FALSE)</f>
        <v>0.67554302099999997</v>
      </c>
      <c r="E23" s="1">
        <f>VLOOKUP(A23,'ADM Data'!$A$2:$S$52,15,FALSE)</f>
        <v>348.09093899999999</v>
      </c>
      <c r="F23" s="1">
        <f>VLOOKUP(A23,'ADM Data'!$A$2:$S$52,16,FALSE)</f>
        <v>118.06462399999999</v>
      </c>
      <c r="G23" s="1">
        <f>VLOOKUP(A23,'ADM Data'!$A$2:$S$52,17,FALSE)</f>
        <v>0</v>
      </c>
      <c r="H23" s="1">
        <f>VLOOKUP(A23,'ADM Data'!$A$2:$S$52,18,FALSE)</f>
        <v>351.82780000000002</v>
      </c>
      <c r="I23" s="1">
        <f>VLOOKUP(A23,'ADM Data'!$A$2:$S$52,19,FALSE)</f>
        <v>0</v>
      </c>
      <c r="J23" s="9">
        <f t="shared" si="0"/>
        <v>1443835.5375305256</v>
      </c>
      <c r="K23" s="9">
        <f t="shared" si="1"/>
        <v>464169.55563739571</v>
      </c>
      <c r="L23" s="9">
        <f t="shared" si="2"/>
        <v>0</v>
      </c>
      <c r="M23" s="9">
        <f t="shared" si="3"/>
        <v>428665.17660887988</v>
      </c>
      <c r="N23" s="9">
        <f t="shared" si="4"/>
        <v>0</v>
      </c>
      <c r="O23" s="9">
        <f t="shared" si="5"/>
        <v>2336670.2697768011</v>
      </c>
      <c r="P23" s="1">
        <f t="shared" si="6"/>
        <v>817.98336300000005</v>
      </c>
      <c r="Q23" s="9">
        <f t="shared" si="7"/>
        <v>160113.79929457206</v>
      </c>
      <c r="R23" s="9">
        <f t="shared" si="8"/>
        <v>2496784.069071373</v>
      </c>
    </row>
    <row r="24" spans="1:18" x14ac:dyDescent="0.25">
      <c r="A24" t="s">
        <v>139</v>
      </c>
      <c r="B24" t="s">
        <v>140</v>
      </c>
      <c r="C24" t="s">
        <v>220</v>
      </c>
      <c r="D24" s="21">
        <f>VLOOKUP(A24,'State Share Base Cost'!$A$3:$H$52,8,FALSE)</f>
        <v>0.684246629</v>
      </c>
      <c r="E24" s="1">
        <f>VLOOKUP(A24,'ADM Data'!$A$2:$S$52,15,FALSE)</f>
        <v>199.35275799999999</v>
      </c>
      <c r="F24" s="1">
        <f>VLOOKUP(A24,'ADM Data'!$A$2:$S$52,16,FALSE)</f>
        <v>142.37028000000001</v>
      </c>
      <c r="G24" s="1">
        <f>VLOOKUP(A24,'ADM Data'!$A$2:$S$52,17,FALSE)</f>
        <v>178.253613</v>
      </c>
      <c r="H24" s="1">
        <f>VLOOKUP(A24,'ADM Data'!$A$2:$S$52,18,FALSE)</f>
        <v>634.15932199999997</v>
      </c>
      <c r="I24" s="1">
        <f>VLOOKUP(A24,'ADM Data'!$A$2:$S$52,19,FALSE)</f>
        <v>0</v>
      </c>
      <c r="J24" s="9">
        <f t="shared" si="0"/>
        <v>837542.61142494855</v>
      </c>
      <c r="K24" s="9">
        <f t="shared" si="1"/>
        <v>566938.37922322063</v>
      </c>
      <c r="L24" s="9">
        <f t="shared" si="2"/>
        <v>258928.9778581961</v>
      </c>
      <c r="M24" s="9">
        <f t="shared" si="3"/>
        <v>782611.25128485553</v>
      </c>
      <c r="N24" s="9">
        <f t="shared" si="4"/>
        <v>0</v>
      </c>
      <c r="O24" s="9">
        <f t="shared" si="5"/>
        <v>2446021.2197912205</v>
      </c>
      <c r="P24" s="1">
        <f t="shared" si="6"/>
        <v>1154.1359729999999</v>
      </c>
      <c r="Q24" s="9">
        <f t="shared" si="7"/>
        <v>228823.65840126001</v>
      </c>
      <c r="R24" s="9">
        <f t="shared" si="8"/>
        <v>2674844.8781924807</v>
      </c>
    </row>
    <row r="25" spans="1:18" x14ac:dyDescent="0.25">
      <c r="A25" t="s">
        <v>141</v>
      </c>
      <c r="B25" t="s">
        <v>142</v>
      </c>
      <c r="C25" t="s">
        <v>221</v>
      </c>
      <c r="D25" s="21">
        <f>VLOOKUP(A25,'State Share Base Cost'!$A$3:$H$52,8,FALSE)</f>
        <v>0.69261277899999996</v>
      </c>
      <c r="E25" s="1">
        <f>VLOOKUP(A25,'ADM Data'!$A$2:$S$52,15,FALSE)</f>
        <v>247.138713</v>
      </c>
      <c r="F25" s="1">
        <f>VLOOKUP(A25,'ADM Data'!$A$2:$S$52,16,FALSE)</f>
        <v>127.101422</v>
      </c>
      <c r="G25" s="1">
        <f>VLOOKUP(A25,'ADM Data'!$A$2:$S$52,17,FALSE)</f>
        <v>12.885405</v>
      </c>
      <c r="H25" s="1">
        <f>VLOOKUP(A25,'ADM Data'!$A$2:$S$52,18,FALSE)</f>
        <v>292.12924800000002</v>
      </c>
      <c r="I25" s="1">
        <f>VLOOKUP(A25,'ADM Data'!$A$2:$S$52,19,FALSE)</f>
        <v>0</v>
      </c>
      <c r="J25" s="9">
        <f t="shared" si="0"/>
        <v>1051001.3594173419</v>
      </c>
      <c r="K25" s="9">
        <f t="shared" si="1"/>
        <v>512324.07165630342</v>
      </c>
      <c r="L25" s="9">
        <f t="shared" si="2"/>
        <v>18946.030090610762</v>
      </c>
      <c r="M25" s="9">
        <f t="shared" si="3"/>
        <v>364922.44909207325</v>
      </c>
      <c r="N25" s="9">
        <f t="shared" si="4"/>
        <v>0</v>
      </c>
      <c r="O25" s="9">
        <f t="shared" si="5"/>
        <v>1947193.9102563295</v>
      </c>
      <c r="P25" s="1">
        <f t="shared" si="6"/>
        <v>679.25478799999996</v>
      </c>
      <c r="Q25" s="9">
        <f t="shared" si="7"/>
        <v>136318.40287720837</v>
      </c>
      <c r="R25" s="9">
        <f t="shared" si="8"/>
        <v>2083512.3131335378</v>
      </c>
    </row>
    <row r="26" spans="1:18" x14ac:dyDescent="0.25">
      <c r="A26" t="s">
        <v>143</v>
      </c>
      <c r="B26" t="s">
        <v>144</v>
      </c>
      <c r="C26" t="s">
        <v>222</v>
      </c>
      <c r="D26" s="21">
        <f>VLOOKUP(A26,'State Share Base Cost'!$A$3:$H$52,8,FALSE)</f>
        <v>0.78459845299999997</v>
      </c>
      <c r="E26" s="1">
        <f>VLOOKUP(A26,'ADM Data'!$A$2:$S$52,15,FALSE)</f>
        <v>798.90413899999999</v>
      </c>
      <c r="F26" s="1">
        <f>VLOOKUP(A26,'ADM Data'!$A$2:$S$52,16,FALSE)</f>
        <v>282.56710900000002</v>
      </c>
      <c r="G26" s="1">
        <f>VLOOKUP(A26,'ADM Data'!$A$2:$S$52,17,FALSE)</f>
        <v>9.039555</v>
      </c>
      <c r="H26" s="1">
        <f>VLOOKUP(A26,'ADM Data'!$A$2:$S$52,18,FALSE)</f>
        <v>656.11267299999997</v>
      </c>
      <c r="I26" s="1">
        <f>VLOOKUP(A26,'ADM Data'!$A$2:$S$52,19,FALSE)</f>
        <v>0</v>
      </c>
      <c r="J26" s="9">
        <f t="shared" si="0"/>
        <v>3848700.4932852965</v>
      </c>
      <c r="K26" s="9">
        <f t="shared" si="1"/>
        <v>1290247.1484511632</v>
      </c>
      <c r="L26" s="9">
        <f t="shared" si="2"/>
        <v>15056.504149040022</v>
      </c>
      <c r="M26" s="9">
        <f t="shared" si="3"/>
        <v>928455.11630207044</v>
      </c>
      <c r="N26" s="9">
        <f t="shared" si="4"/>
        <v>0</v>
      </c>
      <c r="O26" s="9">
        <f t="shared" si="5"/>
        <v>6082459.2621875703</v>
      </c>
      <c r="P26" s="1">
        <f t="shared" si="6"/>
        <v>1746.6234760000002</v>
      </c>
      <c r="Q26" s="9">
        <f t="shared" si="7"/>
        <v>397080.00732233108</v>
      </c>
      <c r="R26" s="9">
        <f t="shared" si="8"/>
        <v>6479539.2695099013</v>
      </c>
    </row>
    <row r="27" spans="1:18" x14ac:dyDescent="0.25">
      <c r="A27" t="s">
        <v>145</v>
      </c>
      <c r="B27" t="s">
        <v>146</v>
      </c>
      <c r="C27" t="s">
        <v>223</v>
      </c>
      <c r="D27" s="21">
        <f>VLOOKUP(A27,'State Share Base Cost'!$A$3:$H$52,8,FALSE)</f>
        <v>0.76590154499999996</v>
      </c>
      <c r="E27" s="1">
        <f>VLOOKUP(A27,'ADM Data'!$A$2:$S$52,15,FALSE)</f>
        <v>372.30326000000002</v>
      </c>
      <c r="F27" s="1">
        <f>VLOOKUP(A27,'ADM Data'!$A$2:$S$52,16,FALSE)</f>
        <v>139.53357199999999</v>
      </c>
      <c r="G27" s="1">
        <f>VLOOKUP(A27,'ADM Data'!$A$2:$S$52,17,FALSE)</f>
        <v>26.623394000000001</v>
      </c>
      <c r="H27" s="1">
        <f>VLOOKUP(A27,'ADM Data'!$A$2:$S$52,18,FALSE)</f>
        <v>403.77063500000003</v>
      </c>
      <c r="I27" s="1">
        <f>VLOOKUP(A27,'ADM Data'!$A$2:$S$52,19,FALSE)</f>
        <v>0</v>
      </c>
      <c r="J27" s="9">
        <f t="shared" si="0"/>
        <v>1750821.1388093065</v>
      </c>
      <c r="K27" s="9">
        <f t="shared" si="1"/>
        <v>621950.05400029663</v>
      </c>
      <c r="L27" s="9">
        <f t="shared" si="2"/>
        <v>43287.849807362596</v>
      </c>
      <c r="M27" s="9">
        <f t="shared" si="3"/>
        <v>557754.02928742033</v>
      </c>
      <c r="N27" s="9">
        <f t="shared" si="4"/>
        <v>0</v>
      </c>
      <c r="O27" s="9">
        <f t="shared" si="5"/>
        <v>2973813.0719043859</v>
      </c>
      <c r="P27" s="1">
        <f t="shared" si="6"/>
        <v>942.230861</v>
      </c>
      <c r="Q27" s="9">
        <f t="shared" si="7"/>
        <v>209103.61973400702</v>
      </c>
      <c r="R27" s="9">
        <f t="shared" si="8"/>
        <v>3182916.6916383929</v>
      </c>
    </row>
    <row r="28" spans="1:18" x14ac:dyDescent="0.25">
      <c r="A28" t="s">
        <v>147</v>
      </c>
      <c r="B28" t="s">
        <v>148</v>
      </c>
      <c r="C28" t="s">
        <v>224</v>
      </c>
      <c r="D28" s="21">
        <f>VLOOKUP(A28,'State Share Base Cost'!$A$3:$H$52,8,FALSE)</f>
        <v>0.78987996199999999</v>
      </c>
      <c r="E28" s="1">
        <f>VLOOKUP(A28,'ADM Data'!$A$2:$S$52,15,FALSE)</f>
        <v>365.08139399999999</v>
      </c>
      <c r="F28" s="1">
        <f>VLOOKUP(A28,'ADM Data'!$A$2:$S$52,16,FALSE)</f>
        <v>164.04495399999999</v>
      </c>
      <c r="G28" s="1">
        <f>VLOOKUP(A28,'ADM Data'!$A$2:$S$52,17,FALSE)</f>
        <v>29.379166000000001</v>
      </c>
      <c r="H28" s="1">
        <f>VLOOKUP(A28,'ADM Data'!$A$2:$S$52,18,FALSE)</f>
        <v>205.224739</v>
      </c>
      <c r="I28" s="1">
        <f>VLOOKUP(A28,'ADM Data'!$A$2:$S$52,19,FALSE)</f>
        <v>6.6037210000000002</v>
      </c>
      <c r="J28" s="9">
        <f t="shared" si="0"/>
        <v>1770609.514455193</v>
      </c>
      <c r="K28" s="9">
        <f t="shared" si="1"/>
        <v>754098.06228013372</v>
      </c>
      <c r="L28" s="9">
        <f t="shared" si="2"/>
        <v>49264.060949198596</v>
      </c>
      <c r="M28" s="9">
        <f t="shared" si="3"/>
        <v>292365.31505289709</v>
      </c>
      <c r="N28" s="9">
        <f t="shared" si="4"/>
        <v>8071.1127770154844</v>
      </c>
      <c r="O28" s="9">
        <f t="shared" si="5"/>
        <v>2874408.0655144379</v>
      </c>
      <c r="P28" s="1">
        <f t="shared" si="6"/>
        <v>770.33397400000001</v>
      </c>
      <c r="Q28" s="9">
        <f t="shared" si="7"/>
        <v>176307.76057781975</v>
      </c>
      <c r="R28" s="9">
        <f t="shared" si="8"/>
        <v>3050715.8260922576</v>
      </c>
    </row>
    <row r="29" spans="1:18" x14ac:dyDescent="0.25">
      <c r="A29" t="s">
        <v>149</v>
      </c>
      <c r="B29" t="s">
        <v>150</v>
      </c>
      <c r="C29" t="s">
        <v>225</v>
      </c>
      <c r="D29" s="21">
        <f>VLOOKUP(A29,'State Share Base Cost'!$A$3:$H$52,8,FALSE)</f>
        <v>0.80623046600000003</v>
      </c>
      <c r="E29" s="1">
        <f>VLOOKUP(A29,'ADM Data'!$A$2:$S$52,15,FALSE)</f>
        <v>612.36385399999995</v>
      </c>
      <c r="F29" s="1">
        <f>VLOOKUP(A29,'ADM Data'!$A$2:$S$52,16,FALSE)</f>
        <v>372.45995799999997</v>
      </c>
      <c r="G29" s="1">
        <f>VLOOKUP(A29,'ADM Data'!$A$2:$S$52,17,FALSE)</f>
        <v>180.14274599999999</v>
      </c>
      <c r="H29" s="1">
        <f>VLOOKUP(A29,'ADM Data'!$A$2:$S$52,18,FALSE)</f>
        <v>648.51757399999997</v>
      </c>
      <c r="I29" s="1">
        <f>VLOOKUP(A29,'ADM Data'!$A$2:$S$52,19,FALSE)</f>
        <v>84.033461000000003</v>
      </c>
      <c r="J29" s="9">
        <f t="shared" si="0"/>
        <v>3031382.5749737592</v>
      </c>
      <c r="K29" s="9">
        <f t="shared" si="1"/>
        <v>1747602.4602519306</v>
      </c>
      <c r="L29" s="9">
        <f t="shared" si="2"/>
        <v>308322.79415748856</v>
      </c>
      <c r="M29" s="9">
        <f t="shared" si="3"/>
        <v>943009.34097595804</v>
      </c>
      <c r="N29" s="9">
        <f t="shared" si="4"/>
        <v>104832.28659105689</v>
      </c>
      <c r="O29" s="9">
        <f t="shared" si="5"/>
        <v>6135149.4569501923</v>
      </c>
      <c r="P29" s="1">
        <f t="shared" si="6"/>
        <v>1897.5175929999998</v>
      </c>
      <c r="Q29" s="9">
        <f t="shared" si="7"/>
        <v>443278.12190367543</v>
      </c>
      <c r="R29" s="9">
        <f t="shared" si="8"/>
        <v>6578427.5788538679</v>
      </c>
    </row>
    <row r="30" spans="1:18" x14ac:dyDescent="0.25">
      <c r="A30" t="s">
        <v>151</v>
      </c>
      <c r="B30" t="s">
        <v>152</v>
      </c>
      <c r="C30" t="s">
        <v>226</v>
      </c>
      <c r="D30" s="21">
        <f>VLOOKUP(A30,'State Share Base Cost'!$A$3:$H$52,8,FALSE)</f>
        <v>0.93411167100000003</v>
      </c>
      <c r="E30" s="1">
        <f>VLOOKUP(A30,'ADM Data'!$A$2:$S$52,15,FALSE)</f>
        <v>166.03674699999999</v>
      </c>
      <c r="F30" s="1">
        <f>VLOOKUP(A30,'ADM Data'!$A$2:$S$52,16,FALSE)</f>
        <v>24.020298</v>
      </c>
      <c r="G30" s="1">
        <f>VLOOKUP(A30,'ADM Data'!$A$2:$S$52,17,FALSE)</f>
        <v>5.0717400000000001</v>
      </c>
      <c r="H30" s="1">
        <f>VLOOKUP(A30,'ADM Data'!$A$2:$S$52,18,FALSE)</f>
        <v>140.93123499999999</v>
      </c>
      <c r="I30" s="1">
        <f>VLOOKUP(A30,'ADM Data'!$A$2:$S$52,19,FALSE)</f>
        <v>0</v>
      </c>
      <c r="J30" s="9">
        <f t="shared" si="0"/>
        <v>952302.69023691292</v>
      </c>
      <c r="K30" s="9">
        <f t="shared" si="1"/>
        <v>130581.31610300236</v>
      </c>
      <c r="L30" s="9">
        <f t="shared" si="2"/>
        <v>10057.39318932379</v>
      </c>
      <c r="M30" s="9">
        <f t="shared" si="3"/>
        <v>237433.0087563016</v>
      </c>
      <c r="N30" s="9">
        <f t="shared" si="4"/>
        <v>0</v>
      </c>
      <c r="O30" s="9">
        <f t="shared" si="5"/>
        <v>1330374.4082855408</v>
      </c>
      <c r="P30" s="1">
        <f t="shared" si="6"/>
        <v>336.06002000000001</v>
      </c>
      <c r="Q30" s="9">
        <f t="shared" si="7"/>
        <v>90959.261947597464</v>
      </c>
      <c r="R30" s="9">
        <f t="shared" si="8"/>
        <v>1421333.6702331381</v>
      </c>
    </row>
    <row r="31" spans="1:18" x14ac:dyDescent="0.25">
      <c r="A31" t="s">
        <v>153</v>
      </c>
      <c r="B31" t="s">
        <v>154</v>
      </c>
      <c r="C31" t="s">
        <v>227</v>
      </c>
      <c r="D31" s="21">
        <f>VLOOKUP(A31,'State Share Base Cost'!$A$3:$H$52,8,FALSE)</f>
        <v>0.76344750299999997</v>
      </c>
      <c r="E31" s="1">
        <f>VLOOKUP(A31,'ADM Data'!$A$2:$S$52,15,FALSE)</f>
        <v>169.82335499999999</v>
      </c>
      <c r="F31" s="1">
        <f>VLOOKUP(A31,'ADM Data'!$A$2:$S$52,16,FALSE)</f>
        <v>145.04054199999999</v>
      </c>
      <c r="G31" s="1">
        <f>VLOOKUP(A31,'ADM Data'!$A$2:$S$52,17,FALSE)</f>
        <v>0</v>
      </c>
      <c r="H31" s="1">
        <f>VLOOKUP(A31,'ADM Data'!$A$2:$S$52,18,FALSE)</f>
        <v>122.55825</v>
      </c>
      <c r="I31" s="1">
        <f>VLOOKUP(A31,'ADM Data'!$A$2:$S$52,19,FALSE)</f>
        <v>0</v>
      </c>
      <c r="J31" s="9">
        <f t="shared" si="0"/>
        <v>796065.1141619609</v>
      </c>
      <c r="K31" s="9">
        <f t="shared" si="1"/>
        <v>644425.09632976865</v>
      </c>
      <c r="L31" s="9">
        <f t="shared" si="2"/>
        <v>0</v>
      </c>
      <c r="M31" s="9">
        <f t="shared" si="3"/>
        <v>168755.04689729874</v>
      </c>
      <c r="N31" s="9">
        <f t="shared" si="4"/>
        <v>0</v>
      </c>
      <c r="O31" s="9">
        <f t="shared" si="5"/>
        <v>1609245.2573890281</v>
      </c>
      <c r="P31" s="1">
        <f t="shared" si="6"/>
        <v>437.42214699999994</v>
      </c>
      <c r="Q31" s="9">
        <f t="shared" si="7"/>
        <v>96763.423979469444</v>
      </c>
      <c r="R31" s="9">
        <f t="shared" si="8"/>
        <v>1706008.6813684974</v>
      </c>
    </row>
    <row r="32" spans="1:18" x14ac:dyDescent="0.25">
      <c r="A32" t="s">
        <v>155</v>
      </c>
      <c r="B32" t="s">
        <v>156</v>
      </c>
      <c r="C32" t="s">
        <v>228</v>
      </c>
      <c r="D32" s="21">
        <f>VLOOKUP(A32,'State Share Base Cost'!$A$3:$H$52,8,FALSE)</f>
        <v>0.87171116199999998</v>
      </c>
      <c r="E32" s="1">
        <f>VLOOKUP(A32,'ADM Data'!$A$2:$S$52,15,FALSE)</f>
        <v>397.62038699999999</v>
      </c>
      <c r="F32" s="1">
        <f>VLOOKUP(A32,'ADM Data'!$A$2:$S$52,16,FALSE)</f>
        <v>217.525148</v>
      </c>
      <c r="G32" s="1">
        <f>VLOOKUP(A32,'ADM Data'!$A$2:$S$52,17,FALSE)</f>
        <v>12.215576</v>
      </c>
      <c r="H32" s="1">
        <f>VLOOKUP(A32,'ADM Data'!$A$2:$S$52,18,FALSE)</f>
        <v>433.64990399999999</v>
      </c>
      <c r="I32" s="1">
        <f>VLOOKUP(A32,'ADM Data'!$A$2:$S$52,19,FALSE)</f>
        <v>47.603799000000002</v>
      </c>
      <c r="J32" s="9">
        <f t="shared" si="0"/>
        <v>2128203.9628973333</v>
      </c>
      <c r="K32" s="9">
        <f t="shared" si="1"/>
        <v>1103534.54280797</v>
      </c>
      <c r="L32" s="9">
        <f t="shared" si="2"/>
        <v>22605.608724659942</v>
      </c>
      <c r="M32" s="9">
        <f t="shared" si="3"/>
        <v>681784.15145670716</v>
      </c>
      <c r="N32" s="9">
        <f t="shared" si="4"/>
        <v>64209.283305322293</v>
      </c>
      <c r="O32" s="9">
        <f t="shared" si="5"/>
        <v>4000337.5491919927</v>
      </c>
      <c r="P32" s="1">
        <f t="shared" si="6"/>
        <v>1108.614814</v>
      </c>
      <c r="Q32" s="9">
        <f t="shared" si="7"/>
        <v>280017.10755944561</v>
      </c>
      <c r="R32" s="9">
        <f t="shared" si="8"/>
        <v>4280354.656751438</v>
      </c>
    </row>
    <row r="33" spans="1:18" x14ac:dyDescent="0.25">
      <c r="A33" t="s">
        <v>157</v>
      </c>
      <c r="B33" t="s">
        <v>158</v>
      </c>
      <c r="C33" t="s">
        <v>229</v>
      </c>
      <c r="D33" s="21">
        <f>VLOOKUP(A33,'State Share Base Cost'!$A$3:$H$52,8,FALSE)</f>
        <v>0.86064178999999996</v>
      </c>
      <c r="E33" s="1">
        <f>VLOOKUP(A33,'ADM Data'!$A$2:$S$52,15,FALSE)</f>
        <v>400.39280400000001</v>
      </c>
      <c r="F33" s="1">
        <f>VLOOKUP(A33,'ADM Data'!$A$2:$S$52,16,FALSE)</f>
        <v>169.220766</v>
      </c>
      <c r="G33" s="1">
        <f>VLOOKUP(A33,'ADM Data'!$A$2:$S$52,17,FALSE)</f>
        <v>39.327094000000002</v>
      </c>
      <c r="H33" s="1">
        <f>VLOOKUP(A33,'ADM Data'!$A$2:$S$52,18,FALSE)</f>
        <v>244.416718</v>
      </c>
      <c r="I33" s="1">
        <f>VLOOKUP(A33,'ADM Data'!$A$2:$S$52,19,FALSE)</f>
        <v>0</v>
      </c>
      <c r="J33" s="9">
        <f t="shared" si="0"/>
        <v>2115829.6102897492</v>
      </c>
      <c r="K33" s="9">
        <f t="shared" si="1"/>
        <v>847578.51415497577</v>
      </c>
      <c r="L33" s="9">
        <f t="shared" si="2"/>
        <v>71852.839535969179</v>
      </c>
      <c r="M33" s="9">
        <f t="shared" si="3"/>
        <v>379392.18285196309</v>
      </c>
      <c r="N33" s="9">
        <f t="shared" si="4"/>
        <v>0</v>
      </c>
      <c r="O33" s="9">
        <f t="shared" si="5"/>
        <v>3414653.1468326575</v>
      </c>
      <c r="P33" s="1">
        <f t="shared" si="6"/>
        <v>853.35738199999992</v>
      </c>
      <c r="Q33" s="9">
        <f t="shared" si="7"/>
        <v>212806.38804883705</v>
      </c>
      <c r="R33" s="9">
        <f t="shared" si="8"/>
        <v>3627459.5348814945</v>
      </c>
    </row>
    <row r="34" spans="1:18" x14ac:dyDescent="0.25">
      <c r="A34" t="s">
        <v>159</v>
      </c>
      <c r="B34" t="s">
        <v>160</v>
      </c>
      <c r="C34" t="s">
        <v>230</v>
      </c>
      <c r="D34" s="21">
        <f>VLOOKUP(A34,'State Share Base Cost'!$A$3:$H$52,8,FALSE)</f>
        <v>0.78580657099999995</v>
      </c>
      <c r="E34" s="1">
        <f>VLOOKUP(A34,'ADM Data'!$A$2:$S$52,15,FALSE)</f>
        <v>489.28509000000003</v>
      </c>
      <c r="F34" s="1">
        <f>VLOOKUP(A34,'ADM Data'!$A$2:$S$52,16,FALSE)</f>
        <v>190.15164799999999</v>
      </c>
      <c r="G34" s="1">
        <f>VLOOKUP(A34,'ADM Data'!$A$2:$S$52,17,FALSE)</f>
        <v>123.05729599999999</v>
      </c>
      <c r="H34" s="1">
        <f>VLOOKUP(A34,'ADM Data'!$A$2:$S$52,18,FALSE)</f>
        <v>119.977076</v>
      </c>
      <c r="I34" s="1">
        <f>VLOOKUP(A34,'ADM Data'!$A$2:$S$52,19,FALSE)</f>
        <v>4.4610669999999999</v>
      </c>
      <c r="J34" s="9">
        <f t="shared" si="0"/>
        <v>2360748.022941038</v>
      </c>
      <c r="K34" s="9">
        <f t="shared" si="1"/>
        <v>869600.14188914606</v>
      </c>
      <c r="L34" s="9">
        <f t="shared" si="2"/>
        <v>205282.85219275634</v>
      </c>
      <c r="M34" s="9">
        <f t="shared" si="3"/>
        <v>170039.16726637728</v>
      </c>
      <c r="N34" s="9">
        <f t="shared" si="4"/>
        <v>5424.2288539888677</v>
      </c>
      <c r="O34" s="9">
        <f t="shared" si="5"/>
        <v>3611094.4131433065</v>
      </c>
      <c r="P34" s="1">
        <f t="shared" si="6"/>
        <v>926.93217699999991</v>
      </c>
      <c r="Q34" s="9">
        <f t="shared" si="7"/>
        <v>211054.63538267164</v>
      </c>
      <c r="R34" s="9">
        <f t="shared" si="8"/>
        <v>3822149.0485259783</v>
      </c>
    </row>
    <row r="35" spans="1:18" x14ac:dyDescent="0.25">
      <c r="A35" t="s">
        <v>161</v>
      </c>
      <c r="B35" t="s">
        <v>162</v>
      </c>
      <c r="C35" t="s">
        <v>231</v>
      </c>
      <c r="D35" s="21">
        <f>VLOOKUP(A35,'State Share Base Cost'!$A$3:$H$52,8,FALSE)</f>
        <v>0.71992725599999996</v>
      </c>
      <c r="E35" s="1">
        <f>VLOOKUP(A35,'ADM Data'!$A$2:$S$52,15,FALSE)</f>
        <v>453.693241</v>
      </c>
      <c r="F35" s="1">
        <f>VLOOKUP(A35,'ADM Data'!$A$2:$S$52,16,FALSE)</f>
        <v>115.98797399999999</v>
      </c>
      <c r="G35" s="1">
        <f>VLOOKUP(A35,'ADM Data'!$A$2:$S$52,17,FALSE)</f>
        <v>0</v>
      </c>
      <c r="H35" s="1">
        <f>VLOOKUP(A35,'ADM Data'!$A$2:$S$52,18,FALSE)</f>
        <v>306.71873399999998</v>
      </c>
      <c r="I35" s="1">
        <f>VLOOKUP(A35,'ADM Data'!$A$2:$S$52,19,FALSE)</f>
        <v>22.581821000000001</v>
      </c>
      <c r="J35" s="9">
        <f t="shared" si="0"/>
        <v>2005501.1814169295</v>
      </c>
      <c r="K35" s="9">
        <f t="shared" si="1"/>
        <v>485965.49110225023</v>
      </c>
      <c r="L35" s="9">
        <f t="shared" si="2"/>
        <v>0</v>
      </c>
      <c r="M35" s="9">
        <f t="shared" si="3"/>
        <v>398257.49603495916</v>
      </c>
      <c r="N35" s="9">
        <f t="shared" si="4"/>
        <v>25155.397198725754</v>
      </c>
      <c r="O35" s="9">
        <f t="shared" si="5"/>
        <v>2914879.5657528648</v>
      </c>
      <c r="P35" s="1">
        <f t="shared" si="6"/>
        <v>898.98176999999987</v>
      </c>
      <c r="Q35" s="9">
        <f t="shared" si="7"/>
        <v>187530.01207194966</v>
      </c>
      <c r="R35" s="9">
        <f t="shared" si="8"/>
        <v>3102409.5778248142</v>
      </c>
    </row>
    <row r="36" spans="1:18" x14ac:dyDescent="0.25">
      <c r="A36" t="s">
        <v>163</v>
      </c>
      <c r="B36" t="s">
        <v>164</v>
      </c>
      <c r="C36" t="s">
        <v>232</v>
      </c>
      <c r="D36" s="21">
        <f>VLOOKUP(A36,'State Share Base Cost'!$A$3:$H$52,8,FALSE)</f>
        <v>0.90225197899999998</v>
      </c>
      <c r="E36" s="1">
        <f>VLOOKUP(A36,'ADM Data'!$A$2:$S$52,15,FALSE)</f>
        <v>251.21781300000001</v>
      </c>
      <c r="F36" s="1">
        <f>VLOOKUP(A36,'ADM Data'!$A$2:$S$52,16,FALSE)</f>
        <v>89.899654999999996</v>
      </c>
      <c r="G36" s="1">
        <f>VLOOKUP(A36,'ADM Data'!$A$2:$S$52,17,FALSE)</f>
        <v>0</v>
      </c>
      <c r="H36" s="1">
        <f>VLOOKUP(A36,'ADM Data'!$A$2:$S$52,18,FALSE)</f>
        <v>216.45654400000001</v>
      </c>
      <c r="I36" s="1">
        <f>VLOOKUP(A36,'ADM Data'!$A$2:$S$52,19,FALSE)</f>
        <v>0</v>
      </c>
      <c r="J36" s="9">
        <f t="shared" si="0"/>
        <v>1391714.8799695896</v>
      </c>
      <c r="K36" s="9">
        <f t="shared" si="1"/>
        <v>472051.86797467957</v>
      </c>
      <c r="L36" s="9">
        <f t="shared" si="2"/>
        <v>0</v>
      </c>
      <c r="M36" s="9">
        <f t="shared" si="3"/>
        <v>352235.88866103505</v>
      </c>
      <c r="N36" s="9">
        <f t="shared" si="4"/>
        <v>0</v>
      </c>
      <c r="O36" s="9">
        <f t="shared" si="5"/>
        <v>2216002.6366053042</v>
      </c>
      <c r="P36" s="1">
        <f t="shared" si="6"/>
        <v>557.57401200000004</v>
      </c>
      <c r="Q36" s="9">
        <f t="shared" si="7"/>
        <v>145767.8161699429</v>
      </c>
      <c r="R36" s="9">
        <f t="shared" si="8"/>
        <v>2361770.4527752469</v>
      </c>
    </row>
    <row r="37" spans="1:18" x14ac:dyDescent="0.25">
      <c r="A37" t="s">
        <v>165</v>
      </c>
      <c r="B37" t="s">
        <v>166</v>
      </c>
      <c r="C37" t="s">
        <v>233</v>
      </c>
      <c r="D37" s="21">
        <f>VLOOKUP(A37,'State Share Base Cost'!$A$3:$H$52,8,FALSE)</f>
        <v>0.81176011400000003</v>
      </c>
      <c r="E37" s="1">
        <f>VLOOKUP(A37,'ADM Data'!$A$2:$S$52,15,FALSE)</f>
        <v>251.412893</v>
      </c>
      <c r="F37" s="1">
        <f>VLOOKUP(A37,'ADM Data'!$A$2:$S$52,16,FALSE)</f>
        <v>108.88398100000001</v>
      </c>
      <c r="G37" s="1">
        <f>VLOOKUP(A37,'ADM Data'!$A$2:$S$52,17,FALSE)</f>
        <v>17.269553999999999</v>
      </c>
      <c r="H37" s="1">
        <f>VLOOKUP(A37,'ADM Data'!$A$2:$S$52,18,FALSE)</f>
        <v>262.84981099999999</v>
      </c>
      <c r="I37" s="1">
        <f>VLOOKUP(A37,'ADM Data'!$A$2:$S$52,19,FALSE)</f>
        <v>0.21937300000000001</v>
      </c>
      <c r="J37" s="9">
        <f t="shared" si="0"/>
        <v>1253104.387809586</v>
      </c>
      <c r="K37" s="9">
        <f t="shared" si="1"/>
        <v>514393.59415128629</v>
      </c>
      <c r="L37" s="9">
        <f t="shared" si="2"/>
        <v>29760.380476516391</v>
      </c>
      <c r="M37" s="9">
        <f t="shared" si="3"/>
        <v>384831.32613800192</v>
      </c>
      <c r="N37" s="9">
        <f t="shared" si="4"/>
        <v>275.54623757884332</v>
      </c>
      <c r="O37" s="9">
        <f t="shared" si="5"/>
        <v>2182365.2348129693</v>
      </c>
      <c r="P37" s="1">
        <f t="shared" si="6"/>
        <v>640.63561199999992</v>
      </c>
      <c r="Q37" s="9">
        <f t="shared" si="7"/>
        <v>150685.01502708363</v>
      </c>
      <c r="R37" s="9">
        <f t="shared" si="8"/>
        <v>2333050.2498400528</v>
      </c>
    </row>
    <row r="38" spans="1:18" x14ac:dyDescent="0.25">
      <c r="A38" t="s">
        <v>167</v>
      </c>
      <c r="B38" t="s">
        <v>168</v>
      </c>
      <c r="C38" t="s">
        <v>234</v>
      </c>
      <c r="D38" s="21">
        <f>VLOOKUP(A38,'State Share Base Cost'!$A$3:$H$52,8,FALSE)</f>
        <v>0.77371397099999994</v>
      </c>
      <c r="E38" s="1">
        <f>VLOOKUP(A38,'ADM Data'!$A$2:$S$52,15,FALSE)</f>
        <v>173.49775099999999</v>
      </c>
      <c r="F38" s="1">
        <f>VLOOKUP(A38,'ADM Data'!$A$2:$S$52,16,FALSE)</f>
        <v>113.292753</v>
      </c>
      <c r="G38" s="1">
        <f>VLOOKUP(A38,'ADM Data'!$A$2:$S$52,17,FALSE)</f>
        <v>0</v>
      </c>
      <c r="H38" s="1">
        <f>VLOOKUP(A38,'ADM Data'!$A$2:$S$52,18,FALSE)</f>
        <v>224.96102099999999</v>
      </c>
      <c r="I38" s="1">
        <f>VLOOKUP(A38,'ADM Data'!$A$2:$S$52,19,FALSE)</f>
        <v>0</v>
      </c>
      <c r="J38" s="9">
        <f t="shared" si="0"/>
        <v>824225.95307979744</v>
      </c>
      <c r="K38" s="9">
        <f t="shared" si="1"/>
        <v>510136.527239786</v>
      </c>
      <c r="L38" s="9">
        <f t="shared" si="2"/>
        <v>0</v>
      </c>
      <c r="M38" s="9">
        <f t="shared" si="3"/>
        <v>313922.72337104089</v>
      </c>
      <c r="N38" s="9">
        <f t="shared" si="4"/>
        <v>0</v>
      </c>
      <c r="O38" s="9">
        <f t="shared" si="5"/>
        <v>1648285.2036906243</v>
      </c>
      <c r="P38" s="1">
        <f t="shared" si="6"/>
        <v>511.75152500000002</v>
      </c>
      <c r="Q38" s="9">
        <f t="shared" si="7"/>
        <v>114728.38102300721</v>
      </c>
      <c r="R38" s="9">
        <f t="shared" si="8"/>
        <v>1763013.5847136315</v>
      </c>
    </row>
    <row r="39" spans="1:18" x14ac:dyDescent="0.25">
      <c r="A39" t="s">
        <v>169</v>
      </c>
      <c r="B39" t="s">
        <v>170</v>
      </c>
      <c r="C39" t="s">
        <v>235</v>
      </c>
      <c r="D39" s="21">
        <f>VLOOKUP(A39,'State Share Base Cost'!$A$3:$H$52,8,FALSE)</f>
        <v>0.79116920099999999</v>
      </c>
      <c r="E39" s="1">
        <f>VLOOKUP(A39,'ADM Data'!$A$2:$S$52,15,FALSE)</f>
        <v>292.37536399999999</v>
      </c>
      <c r="F39" s="1">
        <f>VLOOKUP(A39,'ADM Data'!$A$2:$S$52,16,FALSE)</f>
        <v>124.13734599999999</v>
      </c>
      <c r="G39" s="1">
        <f>VLOOKUP(A39,'ADM Data'!$A$2:$S$52,17,FALSE)</f>
        <v>0</v>
      </c>
      <c r="H39" s="1">
        <f>VLOOKUP(A39,'ADM Data'!$A$2:$S$52,18,FALSE)</f>
        <v>442.49763200000001</v>
      </c>
      <c r="I39" s="1">
        <f>VLOOKUP(A39,'ADM Data'!$A$2:$S$52,19,FALSE)</f>
        <v>0</v>
      </c>
      <c r="J39" s="9">
        <f t="shared" si="0"/>
        <v>1420306.7297860193</v>
      </c>
      <c r="K39" s="9">
        <f t="shared" si="1"/>
        <v>571578.2320252459</v>
      </c>
      <c r="L39" s="9">
        <f t="shared" si="2"/>
        <v>0</v>
      </c>
      <c r="M39" s="9">
        <f t="shared" si="3"/>
        <v>631415.68116020563</v>
      </c>
      <c r="N39" s="9">
        <f t="shared" si="4"/>
        <v>0</v>
      </c>
      <c r="O39" s="9">
        <f t="shared" si="5"/>
        <v>2623300.642971471</v>
      </c>
      <c r="P39" s="1">
        <f t="shared" si="6"/>
        <v>859.01034200000004</v>
      </c>
      <c r="Q39" s="9">
        <f t="shared" si="7"/>
        <v>196924.17995503714</v>
      </c>
      <c r="R39" s="9">
        <f t="shared" si="8"/>
        <v>2820224.8229265083</v>
      </c>
    </row>
    <row r="40" spans="1:18" x14ac:dyDescent="0.25">
      <c r="A40" t="s">
        <v>171</v>
      </c>
      <c r="B40" t="s">
        <v>172</v>
      </c>
      <c r="C40" t="s">
        <v>236</v>
      </c>
      <c r="D40" s="21">
        <f>VLOOKUP(A40,'State Share Base Cost'!$A$3:$H$52,8,FALSE)</f>
        <v>0.75028848400000003</v>
      </c>
      <c r="E40" s="1">
        <f>VLOOKUP(A40,'ADM Data'!$A$2:$S$52,15,FALSE)</f>
        <v>309.40008</v>
      </c>
      <c r="F40" s="1">
        <f>VLOOKUP(A40,'ADM Data'!$A$2:$S$52,16,FALSE)</f>
        <v>118.976955</v>
      </c>
      <c r="G40" s="1">
        <f>VLOOKUP(A40,'ADM Data'!$A$2:$S$52,17,FALSE)</f>
        <v>12.244342</v>
      </c>
      <c r="H40" s="1">
        <f>VLOOKUP(A40,'ADM Data'!$A$2:$S$52,18,FALSE)</f>
        <v>254.929609</v>
      </c>
      <c r="I40" s="1">
        <f>VLOOKUP(A40,'ADM Data'!$A$2:$S$52,19,FALSE)</f>
        <v>7.6697610000000003</v>
      </c>
      <c r="J40" s="9">
        <f t="shared" si="0"/>
        <v>1425347.3056736356</v>
      </c>
      <c r="K40" s="9">
        <f t="shared" si="1"/>
        <v>519511.2809555179</v>
      </c>
      <c r="L40" s="9">
        <f t="shared" si="2"/>
        <v>19502.638970996821</v>
      </c>
      <c r="M40" s="9">
        <f t="shared" si="3"/>
        <v>344971.80448153691</v>
      </c>
      <c r="N40" s="9">
        <f t="shared" si="4"/>
        <v>8904.1755592197533</v>
      </c>
      <c r="O40" s="9">
        <f t="shared" si="5"/>
        <v>2318237.2056409069</v>
      </c>
      <c r="P40" s="1">
        <f t="shared" si="6"/>
        <v>703.22074699999996</v>
      </c>
      <c r="Q40" s="9">
        <f t="shared" si="7"/>
        <v>152880.19795545004</v>
      </c>
      <c r="R40" s="9">
        <f t="shared" si="8"/>
        <v>2471117.403596357</v>
      </c>
    </row>
    <row r="41" spans="1:18" x14ac:dyDescent="0.25">
      <c r="A41" t="s">
        <v>173</v>
      </c>
      <c r="B41" t="s">
        <v>174</v>
      </c>
      <c r="C41" t="s">
        <v>237</v>
      </c>
      <c r="D41" s="21">
        <f>VLOOKUP(A41,'State Share Base Cost'!$A$3:$H$52,8,FALSE)</f>
        <v>0.81681689599999996</v>
      </c>
      <c r="E41" s="1">
        <f>VLOOKUP(A41,'ADM Data'!$A$2:$S$52,15,FALSE)</f>
        <v>155.45246599999999</v>
      </c>
      <c r="F41" s="1">
        <f>VLOOKUP(A41,'ADM Data'!$A$2:$S$52,16,FALSE)</f>
        <v>74.084186000000003</v>
      </c>
      <c r="G41" s="1">
        <f>VLOOKUP(A41,'ADM Data'!$A$2:$S$52,17,FALSE)</f>
        <v>0</v>
      </c>
      <c r="H41" s="1">
        <f>VLOOKUP(A41,'ADM Data'!$A$2:$S$52,18,FALSE)</f>
        <v>227.332291</v>
      </c>
      <c r="I41" s="1">
        <f>VLOOKUP(A41,'ADM Data'!$A$2:$S$52,19,FALSE)</f>
        <v>6.6312119999999997</v>
      </c>
      <c r="J41" s="9">
        <f t="shared" si="0"/>
        <v>779640.38142755697</v>
      </c>
      <c r="K41" s="9">
        <f t="shared" si="1"/>
        <v>352171.39545086707</v>
      </c>
      <c r="L41" s="9">
        <f t="shared" si="2"/>
        <v>0</v>
      </c>
      <c r="M41" s="9">
        <f t="shared" si="3"/>
        <v>334904.42147603777</v>
      </c>
      <c r="N41" s="9">
        <f t="shared" si="4"/>
        <v>8381.1039609152413</v>
      </c>
      <c r="O41" s="9">
        <f t="shared" si="5"/>
        <v>1475097.3023153769</v>
      </c>
      <c r="P41" s="1">
        <f t="shared" si="6"/>
        <v>463.50015500000001</v>
      </c>
      <c r="Q41" s="9">
        <f t="shared" si="7"/>
        <v>109699.81039567813</v>
      </c>
      <c r="R41" s="9">
        <f t="shared" si="8"/>
        <v>1584797.112711055</v>
      </c>
    </row>
    <row r="42" spans="1:18" x14ac:dyDescent="0.25">
      <c r="A42" t="s">
        <v>175</v>
      </c>
      <c r="B42" t="s">
        <v>176</v>
      </c>
      <c r="C42" t="s">
        <v>238</v>
      </c>
      <c r="D42" s="21">
        <f>VLOOKUP(A42,'State Share Base Cost'!$A$3:$H$52,8,FALSE)</f>
        <v>0.82589885299999999</v>
      </c>
      <c r="E42" s="1">
        <f>VLOOKUP(A42,'ADM Data'!$A$2:$S$52,15,FALSE)</f>
        <v>218.13806400000001</v>
      </c>
      <c r="F42" s="1">
        <f>VLOOKUP(A42,'ADM Data'!$A$2:$S$52,16,FALSE)</f>
        <v>49.526591000000003</v>
      </c>
      <c r="G42" s="1">
        <f>VLOOKUP(A42,'ADM Data'!$A$2:$S$52,17,FALSE)</f>
        <v>0</v>
      </c>
      <c r="H42" s="1">
        <f>VLOOKUP(A42,'ADM Data'!$A$2:$S$52,18,FALSE)</f>
        <v>115.114823</v>
      </c>
      <c r="I42" s="1">
        <f>VLOOKUP(A42,'ADM Data'!$A$2:$S$52,19,FALSE)</f>
        <v>0</v>
      </c>
      <c r="J42" s="9">
        <f t="shared" si="0"/>
        <v>1106191.4928793109</v>
      </c>
      <c r="K42" s="9">
        <f t="shared" si="1"/>
        <v>238050.52898847326</v>
      </c>
      <c r="L42" s="9">
        <f t="shared" si="2"/>
        <v>0</v>
      </c>
      <c r="M42" s="9">
        <f t="shared" si="3"/>
        <v>171471.97614646683</v>
      </c>
      <c r="N42" s="9">
        <f t="shared" si="4"/>
        <v>0</v>
      </c>
      <c r="O42" s="9">
        <f t="shared" si="5"/>
        <v>1515713.998014251</v>
      </c>
      <c r="P42" s="1">
        <f t="shared" si="6"/>
        <v>382.77947800000004</v>
      </c>
      <c r="Q42" s="9">
        <f t="shared" si="7"/>
        <v>91602.386713287444</v>
      </c>
      <c r="R42" s="9">
        <f t="shared" si="8"/>
        <v>1607316.3847275386</v>
      </c>
    </row>
    <row r="43" spans="1:18" x14ac:dyDescent="0.25">
      <c r="A43" t="s">
        <v>177</v>
      </c>
      <c r="B43" t="s">
        <v>178</v>
      </c>
      <c r="C43" t="s">
        <v>239</v>
      </c>
      <c r="D43" s="21">
        <f>VLOOKUP(A43,'State Share Base Cost'!$A$3:$H$52,8,FALSE)</f>
        <v>0.75098667799999996</v>
      </c>
      <c r="E43" s="1">
        <f>VLOOKUP(A43,'ADM Data'!$A$2:$S$52,15,FALSE)</f>
        <v>225.35285400000001</v>
      </c>
      <c r="F43" s="1">
        <f>VLOOKUP(A43,'ADM Data'!$A$2:$S$52,16,FALSE)</f>
        <v>109.040072</v>
      </c>
      <c r="G43" s="1">
        <f>VLOOKUP(A43,'ADM Data'!$A$2:$S$52,17,FALSE)</f>
        <v>0</v>
      </c>
      <c r="H43" s="1">
        <f>VLOOKUP(A43,'ADM Data'!$A$2:$S$52,18,FALSE)</f>
        <v>237.96648400000001</v>
      </c>
      <c r="I43" s="1">
        <f>VLOOKUP(A43,'ADM Data'!$A$2:$S$52,19,FALSE)</f>
        <v>0</v>
      </c>
      <c r="J43" s="9">
        <f t="shared" si="0"/>
        <v>1039123.8010763022</v>
      </c>
      <c r="K43" s="9">
        <f t="shared" si="1"/>
        <v>476565.07800934708</v>
      </c>
      <c r="L43" s="9">
        <f t="shared" si="2"/>
        <v>0</v>
      </c>
      <c r="M43" s="9">
        <f t="shared" si="3"/>
        <v>322316.89209749928</v>
      </c>
      <c r="N43" s="9">
        <f t="shared" si="4"/>
        <v>0</v>
      </c>
      <c r="O43" s="9">
        <f t="shared" si="5"/>
        <v>1838005.7711831485</v>
      </c>
      <c r="P43" s="1">
        <f t="shared" si="6"/>
        <v>572.35941000000003</v>
      </c>
      <c r="Q43" s="9">
        <f t="shared" si="7"/>
        <v>124546.73326269635</v>
      </c>
      <c r="R43" s="9">
        <f t="shared" si="8"/>
        <v>1962552.5044458448</v>
      </c>
    </row>
    <row r="44" spans="1:18" x14ac:dyDescent="0.25">
      <c r="A44" t="s">
        <v>179</v>
      </c>
      <c r="B44" t="s">
        <v>180</v>
      </c>
      <c r="C44" t="s">
        <v>240</v>
      </c>
      <c r="D44" s="21">
        <f>VLOOKUP(A44,'State Share Base Cost'!$A$3:$H$52,8,FALSE)</f>
        <v>0.86114894399999997</v>
      </c>
      <c r="E44" s="1">
        <f>VLOOKUP(A44,'ADM Data'!$A$2:$S$52,15,FALSE)</f>
        <v>175.07276899999999</v>
      </c>
      <c r="F44" s="1">
        <f>VLOOKUP(A44,'ADM Data'!$A$2:$S$52,16,FALSE)</f>
        <v>116.4555</v>
      </c>
      <c r="G44" s="1">
        <f>VLOOKUP(A44,'ADM Data'!$A$2:$S$52,17,FALSE)</f>
        <v>4.853148</v>
      </c>
      <c r="H44" s="1">
        <f>VLOOKUP(A44,'ADM Data'!$A$2:$S$52,18,FALSE)</f>
        <v>227.37854999999999</v>
      </c>
      <c r="I44" s="1">
        <f>VLOOKUP(A44,'ADM Data'!$A$2:$S$52,19,FALSE)</f>
        <v>0</v>
      </c>
      <c r="J44" s="9">
        <f t="shared" si="0"/>
        <v>925697.03125449375</v>
      </c>
      <c r="K44" s="9">
        <f t="shared" si="1"/>
        <v>583636.07732805936</v>
      </c>
      <c r="L44" s="9">
        <f t="shared" si="2"/>
        <v>8872.2027553300431</v>
      </c>
      <c r="M44" s="9">
        <f t="shared" si="3"/>
        <v>353152.92359251319</v>
      </c>
      <c r="N44" s="9">
        <f t="shared" si="4"/>
        <v>0</v>
      </c>
      <c r="O44" s="9">
        <f t="shared" si="5"/>
        <v>1871358.2349303963</v>
      </c>
      <c r="P44" s="1">
        <f t="shared" si="6"/>
        <v>523.75996699999996</v>
      </c>
      <c r="Q44" s="9">
        <f t="shared" si="7"/>
        <v>130689.84849968988</v>
      </c>
      <c r="R44" s="9">
        <f t="shared" si="8"/>
        <v>2002048.0834300863</v>
      </c>
    </row>
    <row r="45" spans="1:18" x14ac:dyDescent="0.25">
      <c r="A45" t="s">
        <v>181</v>
      </c>
      <c r="B45" t="s">
        <v>182</v>
      </c>
      <c r="C45" t="s">
        <v>241</v>
      </c>
      <c r="D45" s="21">
        <f>VLOOKUP(A45,'State Share Base Cost'!$A$3:$H$52,8,FALSE)</f>
        <v>0.801272965</v>
      </c>
      <c r="E45" s="1">
        <f>VLOOKUP(A45,'ADM Data'!$A$2:$S$52,15,FALSE)</f>
        <v>147.32547700000001</v>
      </c>
      <c r="F45" s="1">
        <f>VLOOKUP(A45,'ADM Data'!$A$2:$S$52,16,FALSE)</f>
        <v>70.921965999999998</v>
      </c>
      <c r="G45" s="1">
        <f>VLOOKUP(A45,'ADM Data'!$A$2:$S$52,17,FALSE)</f>
        <v>7.5808020000000003</v>
      </c>
      <c r="H45" s="1">
        <f>VLOOKUP(A45,'ADM Data'!$A$2:$S$52,18,FALSE)</f>
        <v>143.82719499999999</v>
      </c>
      <c r="I45" s="1">
        <f>VLOOKUP(A45,'ADM Data'!$A$2:$S$52,19,FALSE)</f>
        <v>0</v>
      </c>
      <c r="J45" s="9">
        <f t="shared" si="0"/>
        <v>724820.29084006231</v>
      </c>
      <c r="K45" s="9">
        <f t="shared" si="1"/>
        <v>330723.54007273226</v>
      </c>
      <c r="L45" s="9">
        <f t="shared" si="2"/>
        <v>12895.117169339153</v>
      </c>
      <c r="M45" s="9">
        <f t="shared" si="3"/>
        <v>207853.11643433882</v>
      </c>
      <c r="N45" s="9">
        <f t="shared" si="4"/>
        <v>0</v>
      </c>
      <c r="O45" s="9">
        <f t="shared" si="5"/>
        <v>1276292.0645164724</v>
      </c>
      <c r="P45" s="1">
        <f t="shared" si="6"/>
        <v>369.65544</v>
      </c>
      <c r="Q45" s="9">
        <f t="shared" si="7"/>
        <v>85824.023806164565</v>
      </c>
      <c r="R45" s="9">
        <f t="shared" si="8"/>
        <v>1362116.0883226369</v>
      </c>
    </row>
    <row r="46" spans="1:18" x14ac:dyDescent="0.25">
      <c r="A46" t="s">
        <v>183</v>
      </c>
      <c r="B46" t="s">
        <v>184</v>
      </c>
      <c r="C46" t="s">
        <v>242</v>
      </c>
      <c r="D46" s="21">
        <f>VLOOKUP(A46,'State Share Base Cost'!$A$3:$H$52,8,FALSE)</f>
        <v>0.84200482499999996</v>
      </c>
      <c r="E46" s="1">
        <f>VLOOKUP(A46,'ADM Data'!$A$2:$S$52,15,FALSE)</f>
        <v>216.668903</v>
      </c>
      <c r="F46" s="1">
        <f>VLOOKUP(A46,'ADM Data'!$A$2:$S$52,16,FALSE)</f>
        <v>110.870887</v>
      </c>
      <c r="G46" s="1">
        <f>VLOOKUP(A46,'ADM Data'!$A$2:$S$52,17,FALSE)</f>
        <v>6.2222160000000004</v>
      </c>
      <c r="H46" s="1">
        <f>VLOOKUP(A46,'ADM Data'!$A$2:$S$52,18,FALSE)</f>
        <v>154.43262100000001</v>
      </c>
      <c r="I46" s="1">
        <f>VLOOKUP(A46,'ADM Data'!$A$2:$S$52,19,FALSE)</f>
        <v>0</v>
      </c>
      <c r="J46" s="9">
        <f t="shared" si="0"/>
        <v>1120167.9988490033</v>
      </c>
      <c r="K46" s="9">
        <f t="shared" si="1"/>
        <v>543295.30792472046</v>
      </c>
      <c r="L46" s="9">
        <f t="shared" si="2"/>
        <v>11122.164460827093</v>
      </c>
      <c r="M46" s="9">
        <f t="shared" si="3"/>
        <v>234524.73956710435</v>
      </c>
      <c r="N46" s="9">
        <f t="shared" si="4"/>
        <v>0</v>
      </c>
      <c r="O46" s="9">
        <f t="shared" si="5"/>
        <v>1909110.2108016552</v>
      </c>
      <c r="P46" s="1">
        <f t="shared" si="6"/>
        <v>488.19462699999997</v>
      </c>
      <c r="Q46" s="9">
        <f t="shared" si="7"/>
        <v>119107.4306026697</v>
      </c>
      <c r="R46" s="9">
        <f t="shared" si="8"/>
        <v>2028217.6414043249</v>
      </c>
    </row>
    <row r="47" spans="1:18" x14ac:dyDescent="0.25">
      <c r="A47" t="s">
        <v>185</v>
      </c>
      <c r="B47" t="s">
        <v>186</v>
      </c>
      <c r="C47" t="s">
        <v>243</v>
      </c>
      <c r="D47" s="21">
        <f>VLOOKUP(A47,'State Share Base Cost'!$A$3:$H$52,8,FALSE)</f>
        <v>0.69941285600000003</v>
      </c>
      <c r="E47" s="1">
        <f>VLOOKUP(A47,'ADM Data'!$A$2:$S$52,15,FALSE)</f>
        <v>174.03447299999999</v>
      </c>
      <c r="F47" s="1">
        <f>VLOOKUP(A47,'ADM Data'!$A$2:$S$52,16,FALSE)</f>
        <v>143.757071</v>
      </c>
      <c r="G47" s="1">
        <f>VLOOKUP(A47,'ADM Data'!$A$2:$S$52,17,FALSE)</f>
        <v>11.270030999999999</v>
      </c>
      <c r="H47" s="1">
        <f>VLOOKUP(A47,'ADM Data'!$A$2:$S$52,18,FALSE)</f>
        <v>306.80318799999998</v>
      </c>
      <c r="I47" s="1">
        <f>VLOOKUP(A47,'ADM Data'!$A$2:$S$52,19,FALSE)</f>
        <v>0</v>
      </c>
      <c r="J47" s="9">
        <f t="shared" si="0"/>
        <v>747378.99897982762</v>
      </c>
      <c r="K47" s="9">
        <f t="shared" si="1"/>
        <v>585149.28487021069</v>
      </c>
      <c r="L47" s="9">
        <f t="shared" si="2"/>
        <v>16733.560978914866</v>
      </c>
      <c r="M47" s="9">
        <f t="shared" si="3"/>
        <v>387015.64254808554</v>
      </c>
      <c r="N47" s="9">
        <f t="shared" si="4"/>
        <v>0</v>
      </c>
      <c r="O47" s="9">
        <f t="shared" si="5"/>
        <v>1736277.4873770387</v>
      </c>
      <c r="P47" s="1">
        <f t="shared" si="6"/>
        <v>635.86476300000004</v>
      </c>
      <c r="Q47" s="9">
        <f t="shared" si="7"/>
        <v>128863.41913804543</v>
      </c>
      <c r="R47" s="9">
        <f t="shared" si="8"/>
        <v>1865140.9065150842</v>
      </c>
    </row>
    <row r="48" spans="1:18" x14ac:dyDescent="0.25">
      <c r="A48" t="s">
        <v>187</v>
      </c>
      <c r="B48" t="s">
        <v>188</v>
      </c>
      <c r="C48" t="s">
        <v>244</v>
      </c>
      <c r="D48" s="21">
        <f>VLOOKUP(A48,'State Share Base Cost'!$A$3:$H$52,8,FALSE)</f>
        <v>0.88275909600000002</v>
      </c>
      <c r="E48" s="1">
        <f>VLOOKUP(A48,'ADM Data'!$A$2:$S$52,15,FALSE)</f>
        <v>484.07330300000001</v>
      </c>
      <c r="F48" s="1">
        <f>VLOOKUP(A48,'ADM Data'!$A$2:$S$52,16,FALSE)</f>
        <v>155.97502900000001</v>
      </c>
      <c r="G48" s="1">
        <f>VLOOKUP(A48,'ADM Data'!$A$2:$S$52,17,FALSE)</f>
        <v>27.940816999999999</v>
      </c>
      <c r="H48" s="1">
        <f>VLOOKUP(A48,'ADM Data'!$A$2:$S$52,18,FALSE)</f>
        <v>344.94949700000001</v>
      </c>
      <c r="I48" s="1">
        <f>VLOOKUP(A48,'ADM Data'!$A$2:$S$52,19,FALSE)</f>
        <v>86.068267000000006</v>
      </c>
      <c r="J48" s="9">
        <f t="shared" si="0"/>
        <v>2623767.3881425546</v>
      </c>
      <c r="K48" s="9">
        <f t="shared" si="1"/>
        <v>801311.04406131268</v>
      </c>
      <c r="L48" s="9">
        <f t="shared" si="2"/>
        <v>52361.36400207274</v>
      </c>
      <c r="M48" s="9">
        <f t="shared" si="3"/>
        <v>549202.81826199486</v>
      </c>
      <c r="N48" s="9">
        <f t="shared" si="4"/>
        <v>117562.51337615184</v>
      </c>
      <c r="O48" s="9">
        <f t="shared" si="5"/>
        <v>4144205.1278440868</v>
      </c>
      <c r="P48" s="1">
        <f t="shared" si="6"/>
        <v>1099.0069130000002</v>
      </c>
      <c r="Q48" s="9">
        <f t="shared" si="7"/>
        <v>281108.45361570723</v>
      </c>
      <c r="R48" s="9">
        <f t="shared" si="8"/>
        <v>4425313.5814597942</v>
      </c>
    </row>
    <row r="49" spans="1:18" x14ac:dyDescent="0.25">
      <c r="A49" t="s">
        <v>189</v>
      </c>
      <c r="B49" t="s">
        <v>190</v>
      </c>
      <c r="C49" t="s">
        <v>245</v>
      </c>
      <c r="D49" s="21">
        <f>VLOOKUP(A49,'State Share Base Cost'!$A$3:$H$52,8,FALSE)</f>
        <v>0.90410549699999998</v>
      </c>
      <c r="E49" s="1">
        <f>VLOOKUP(A49,'ADM Data'!$A$2:$S$52,15,FALSE)</f>
        <v>157.720294</v>
      </c>
      <c r="F49" s="1">
        <f>VLOOKUP(A49,'ADM Data'!$A$2:$S$52,16,FALSE)</f>
        <v>43.828510000000001</v>
      </c>
      <c r="G49" s="1">
        <f>VLOOKUP(A49,'ADM Data'!$A$2:$S$52,17,FALSE)</f>
        <v>8.6473519999999997</v>
      </c>
      <c r="H49" s="1">
        <f>VLOOKUP(A49,'ADM Data'!$A$2:$S$52,18,FALSE)</f>
        <v>159.84173100000001</v>
      </c>
      <c r="I49" s="1">
        <f>VLOOKUP(A49,'ADM Data'!$A$2:$S$52,19,FALSE)</f>
        <v>0</v>
      </c>
      <c r="J49" s="9">
        <f t="shared" si="0"/>
        <v>875545.4280942051</v>
      </c>
      <c r="K49" s="9">
        <f t="shared" si="1"/>
        <v>230610.81386421161</v>
      </c>
      <c r="L49" s="9">
        <f t="shared" si="2"/>
        <v>16597.088000625401</v>
      </c>
      <c r="M49" s="9">
        <f t="shared" si="3"/>
        <v>260641.95457331519</v>
      </c>
      <c r="N49" s="9">
        <f t="shared" si="4"/>
        <v>0</v>
      </c>
      <c r="O49" s="9">
        <f t="shared" si="5"/>
        <v>1383395.2845323572</v>
      </c>
      <c r="P49" s="1">
        <f t="shared" si="6"/>
        <v>370.03788700000001</v>
      </c>
      <c r="Q49" s="9">
        <f t="shared" si="7"/>
        <v>96938.564165794349</v>
      </c>
      <c r="R49" s="9">
        <f t="shared" si="8"/>
        <v>1480333.8486981515</v>
      </c>
    </row>
    <row r="50" spans="1:18" x14ac:dyDescent="0.25">
      <c r="A50" t="s">
        <v>191</v>
      </c>
      <c r="B50" t="s">
        <v>192</v>
      </c>
      <c r="C50" t="s">
        <v>246</v>
      </c>
      <c r="D50" s="21">
        <f>VLOOKUP(A50,'State Share Base Cost'!$A$3:$H$52,8,FALSE)</f>
        <v>0.72042290600000003</v>
      </c>
      <c r="E50" s="1">
        <f>VLOOKUP(A50,'ADM Data'!$A$2:$S$52,15,FALSE)</f>
        <v>153.37126499999999</v>
      </c>
      <c r="F50" s="1">
        <f>VLOOKUP(A50,'ADM Data'!$A$2:$S$52,16,FALSE)</f>
        <v>108.127968</v>
      </c>
      <c r="G50" s="1">
        <f>VLOOKUP(A50,'ADM Data'!$A$2:$S$52,17,FALSE)</f>
        <v>0</v>
      </c>
      <c r="H50" s="1">
        <f>VLOOKUP(A50,'ADM Data'!$A$2:$S$52,18,FALSE)</f>
        <v>0</v>
      </c>
      <c r="I50" s="1">
        <f>VLOOKUP(A50,'ADM Data'!$A$2:$S$52,19,FALSE)</f>
        <v>0</v>
      </c>
      <c r="J50" s="9">
        <f t="shared" si="0"/>
        <v>678427.60253788275</v>
      </c>
      <c r="K50" s="9">
        <f t="shared" si="1"/>
        <v>453345.60163826327</v>
      </c>
      <c r="L50" s="9">
        <f t="shared" si="2"/>
        <v>0</v>
      </c>
      <c r="M50" s="9">
        <f t="shared" si="3"/>
        <v>0</v>
      </c>
      <c r="N50" s="9">
        <f t="shared" si="4"/>
        <v>0</v>
      </c>
      <c r="O50" s="9">
        <f t="shared" si="5"/>
        <v>1131773.2041761461</v>
      </c>
      <c r="P50" s="1">
        <f t="shared" si="6"/>
        <v>261.499233</v>
      </c>
      <c r="Q50" s="9">
        <f t="shared" si="7"/>
        <v>54586.998226619653</v>
      </c>
      <c r="R50" s="9">
        <f t="shared" si="8"/>
        <v>1186360.2024027656</v>
      </c>
    </row>
    <row r="51" spans="1:18" x14ac:dyDescent="0.25">
      <c r="A51" t="s">
        <v>193</v>
      </c>
      <c r="B51" t="s">
        <v>194</v>
      </c>
      <c r="C51" t="s">
        <v>247</v>
      </c>
      <c r="D51" s="21">
        <f>VLOOKUP(A51,'State Share Base Cost'!$A$3:$H$52,8,FALSE)</f>
        <v>0.41486646700000002</v>
      </c>
      <c r="E51" s="1">
        <f>VLOOKUP(A51,'ADM Data'!$A$2:$S$52,15,FALSE)</f>
        <v>313.89305000000002</v>
      </c>
      <c r="F51" s="1">
        <f>VLOOKUP(A51,'ADM Data'!$A$2:$S$52,16,FALSE)</f>
        <v>210.46973700000001</v>
      </c>
      <c r="G51" s="1">
        <f>VLOOKUP(A51,'ADM Data'!$A$2:$S$52,17,FALSE)</f>
        <v>0</v>
      </c>
      <c r="H51" s="1">
        <f>VLOOKUP(A51,'ADM Data'!$A$2:$S$52,18,FALSE)</f>
        <v>233.725863</v>
      </c>
      <c r="I51" s="1">
        <f>VLOOKUP(A51,'ADM Data'!$A$2:$S$52,19,FALSE)</f>
        <v>0</v>
      </c>
      <c r="J51" s="9">
        <f t="shared" si="0"/>
        <v>799580.19737673225</v>
      </c>
      <c r="K51" s="9">
        <f t="shared" si="1"/>
        <v>508161.59951809229</v>
      </c>
      <c r="L51" s="9">
        <f t="shared" si="2"/>
        <v>0</v>
      </c>
      <c r="M51" s="9">
        <f t="shared" si="3"/>
        <v>174884.02690911441</v>
      </c>
      <c r="N51" s="9">
        <f t="shared" si="4"/>
        <v>0</v>
      </c>
      <c r="O51" s="9">
        <f t="shared" si="5"/>
        <v>1482625.8238039389</v>
      </c>
      <c r="P51" s="1">
        <f t="shared" si="6"/>
        <v>758.08865000000003</v>
      </c>
      <c r="Q51" s="9">
        <f t="shared" si="7"/>
        <v>91129.630215599449</v>
      </c>
      <c r="R51" s="9">
        <f t="shared" si="8"/>
        <v>1573755.4540195384</v>
      </c>
    </row>
    <row r="52" spans="1:18" x14ac:dyDescent="0.25">
      <c r="A52" t="s">
        <v>195</v>
      </c>
      <c r="B52" t="s">
        <v>196</v>
      </c>
      <c r="C52" t="s">
        <v>248</v>
      </c>
      <c r="D52" s="21">
        <f>VLOOKUP(A52,'State Share Base Cost'!$A$3:$H$52,8,FALSE)</f>
        <v>0.87603140999999995</v>
      </c>
      <c r="E52" s="1">
        <f>VLOOKUP(A52,'ADM Data'!$A$2:$S$52,15,FALSE)</f>
        <v>73.222572</v>
      </c>
      <c r="F52" s="1">
        <f>VLOOKUP(A52,'ADM Data'!$A$2:$S$52,16,FALSE)</f>
        <v>43.368696</v>
      </c>
      <c r="G52" s="1">
        <f>VLOOKUP(A52,'ADM Data'!$A$2:$S$52,17,FALSE)</f>
        <v>0</v>
      </c>
      <c r="H52" s="1">
        <f>VLOOKUP(A52,'ADM Data'!$A$2:$S$52,18,FALSE)</f>
        <v>65.568127000000004</v>
      </c>
      <c r="I52" s="1">
        <f>VLOOKUP(A52,'ADM Data'!$A$2:$S$52,19,FALSE)</f>
        <v>0</v>
      </c>
      <c r="J52" s="9">
        <f t="shared" si="0"/>
        <v>393855.26426363084</v>
      </c>
      <c r="K52" s="9">
        <f t="shared" si="1"/>
        <v>221105.67740120605</v>
      </c>
      <c r="L52" s="9">
        <f t="shared" si="2"/>
        <v>0</v>
      </c>
      <c r="M52" s="9">
        <f t="shared" si="3"/>
        <v>103597.07555188047</v>
      </c>
      <c r="N52" s="9">
        <f t="shared" si="4"/>
        <v>0</v>
      </c>
      <c r="O52" s="9">
        <f t="shared" si="5"/>
        <v>718558.01721671736</v>
      </c>
      <c r="P52" s="1">
        <f t="shared" si="6"/>
        <v>182.15939500000002</v>
      </c>
      <c r="Q52" s="9">
        <f t="shared" si="7"/>
        <v>46238.371909995883</v>
      </c>
      <c r="R52" s="9">
        <f t="shared" si="8"/>
        <v>764796.38912671327</v>
      </c>
    </row>
    <row r="53" spans="1:18" x14ac:dyDescent="0.25">
      <c r="A53" t="s">
        <v>197</v>
      </c>
      <c r="B53" t="s">
        <v>198</v>
      </c>
      <c r="C53" t="s">
        <v>249</v>
      </c>
      <c r="D53" s="21">
        <f>VLOOKUP(A53,'State Share Base Cost'!$A$3:$H$52,8,FALSE)</f>
        <v>0.79648726800000003</v>
      </c>
      <c r="E53" s="1">
        <f>VLOOKUP(A53,'ADM Data'!$A$2:$S$52,15,FALSE)</f>
        <v>197.74687</v>
      </c>
      <c r="F53" s="1">
        <f>VLOOKUP(A53,'ADM Data'!$A$2:$S$52,16,FALSE)</f>
        <v>81.951958000000005</v>
      </c>
      <c r="G53" s="1">
        <f>VLOOKUP(A53,'ADM Data'!$A$2:$S$52,17,FALSE)</f>
        <v>0</v>
      </c>
      <c r="H53" s="1">
        <f>VLOOKUP(A53,'ADM Data'!$A$2:$S$52,18,FALSE)</f>
        <v>178.064527</v>
      </c>
      <c r="I53" s="1">
        <f>VLOOKUP(A53,'ADM Data'!$A$2:$S$52,19,FALSE)</f>
        <v>0</v>
      </c>
      <c r="J53" s="9">
        <f t="shared" si="0"/>
        <v>967075.66004178731</v>
      </c>
      <c r="K53" s="9">
        <f t="shared" si="1"/>
        <v>379876.14688211377</v>
      </c>
      <c r="L53" s="9">
        <f t="shared" si="2"/>
        <v>0</v>
      </c>
      <c r="M53" s="9">
        <f t="shared" si="3"/>
        <v>255794.55067658177</v>
      </c>
      <c r="N53" s="9">
        <f t="shared" si="4"/>
        <v>0</v>
      </c>
      <c r="O53" s="9">
        <f t="shared" si="5"/>
        <v>1602746.3576004829</v>
      </c>
      <c r="P53" s="1">
        <f t="shared" si="6"/>
        <v>457.76335499999999</v>
      </c>
      <c r="Q53" s="9">
        <f t="shared" si="7"/>
        <v>105645.53383602302</v>
      </c>
      <c r="R53" s="9">
        <f t="shared" si="8"/>
        <v>1708391.8914365058</v>
      </c>
    </row>
    <row r="54" spans="1:18" x14ac:dyDescent="0.25">
      <c r="A54" s="135" t="s">
        <v>914</v>
      </c>
      <c r="B54" t="s">
        <v>250</v>
      </c>
      <c r="C54" t="s">
        <v>317</v>
      </c>
      <c r="D54" s="21"/>
      <c r="E54" s="19">
        <f>SUM(E5:E53)</f>
        <v>15877.281879000004</v>
      </c>
      <c r="F54" s="19">
        <f t="shared" ref="F54:R54" si="9">SUM(F5:F53)</f>
        <v>7451.7317910000002</v>
      </c>
      <c r="G54" s="19">
        <f t="shared" si="9"/>
        <v>981.64834899999994</v>
      </c>
      <c r="H54" s="19">
        <f t="shared" si="9"/>
        <v>13732.191010000002</v>
      </c>
      <c r="I54" s="19">
        <f t="shared" si="9"/>
        <v>508.13162100000005</v>
      </c>
      <c r="J54" s="6">
        <f t="shared" si="9"/>
        <v>73347883.210669011</v>
      </c>
      <c r="K54" s="6">
        <f t="shared" si="9"/>
        <v>32160277.061439648</v>
      </c>
      <c r="L54" s="6">
        <f t="shared" si="9"/>
        <v>1586485.9231301851</v>
      </c>
      <c r="M54" s="6">
        <f t="shared" si="9"/>
        <v>18992522.284962818</v>
      </c>
      <c r="N54" s="6">
        <f t="shared" si="9"/>
        <v>649463.90033469698</v>
      </c>
      <c r="O54" s="6">
        <f t="shared" si="9"/>
        <v>126736632.38053635</v>
      </c>
      <c r="P54" s="19">
        <f t="shared" si="9"/>
        <v>38550.984649999991</v>
      </c>
      <c r="Q54" s="6">
        <f t="shared" si="9"/>
        <v>8451983.6796690412</v>
      </c>
      <c r="R54" s="6">
        <f t="shared" si="9"/>
        <v>135188616.0602054</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10A87-228A-462F-92EA-F4138D8061BE}">
  <dimension ref="A1:M54"/>
  <sheetViews>
    <sheetView workbookViewId="0">
      <pane xSplit="3" ySplit="4" topLeftCell="D44" activePane="bottomRight" state="frozen"/>
      <selection pane="topRight" activeCell="D1" sqref="D1"/>
      <selection pane="bottomLeft" activeCell="A3" sqref="A3"/>
      <selection pane="bottomRight" activeCell="B66" sqref="B66"/>
    </sheetView>
  </sheetViews>
  <sheetFormatPr defaultRowHeight="15" x14ac:dyDescent="0.25"/>
  <cols>
    <col min="1" max="1" width="7.5703125" bestFit="1" customWidth="1"/>
    <col min="2" max="2" width="46" bestFit="1" customWidth="1"/>
    <col min="3" max="3" width="13.140625" bestFit="1" customWidth="1"/>
    <col min="4" max="4" width="11.140625" customWidth="1"/>
    <col min="5" max="5" width="12.140625" customWidth="1"/>
    <col min="6" max="7" width="12.140625" bestFit="1" customWidth="1"/>
    <col min="9" max="9" width="14.140625" customWidth="1"/>
    <col min="10" max="10" width="10" customWidth="1"/>
    <col min="11" max="11" width="12.28515625" customWidth="1"/>
    <col min="12" max="12" width="12.7109375" bestFit="1" customWidth="1"/>
  </cols>
  <sheetData>
    <row r="1" spans="1:13" x14ac:dyDescent="0.25">
      <c r="E1" t="s">
        <v>413</v>
      </c>
      <c r="F1" t="s">
        <v>414</v>
      </c>
      <c r="G1" t="s">
        <v>415</v>
      </c>
      <c r="I1" s="18" t="s">
        <v>416</v>
      </c>
      <c r="J1" s="18"/>
      <c r="K1" s="18"/>
      <c r="L1" s="107">
        <f>'Special Edu'!I1</f>
        <v>8241.61</v>
      </c>
    </row>
    <row r="2" spans="1:13" x14ac:dyDescent="0.25">
      <c r="E2">
        <v>0.2104</v>
      </c>
      <c r="F2">
        <v>0.15770000000000001</v>
      </c>
      <c r="G2">
        <v>0.1053</v>
      </c>
    </row>
    <row r="4" spans="1:13" s="4" customFormat="1" ht="45" x14ac:dyDescent="0.25">
      <c r="A4" s="4" t="s">
        <v>93</v>
      </c>
      <c r="B4" s="4" t="s">
        <v>94</v>
      </c>
      <c r="C4" s="4" t="s">
        <v>95</v>
      </c>
      <c r="D4" s="3" t="s">
        <v>391</v>
      </c>
      <c r="E4" s="3" t="s">
        <v>417</v>
      </c>
      <c r="F4" s="3" t="s">
        <v>418</v>
      </c>
      <c r="G4" s="3" t="s">
        <v>419</v>
      </c>
      <c r="H4" s="3" t="s">
        <v>420</v>
      </c>
      <c r="I4" s="3" t="s">
        <v>421</v>
      </c>
      <c r="J4" s="3" t="s">
        <v>422</v>
      </c>
      <c r="K4" s="3" t="s">
        <v>423</v>
      </c>
      <c r="L4" s="3" t="s">
        <v>424</v>
      </c>
      <c r="M4" s="3" t="s">
        <v>420</v>
      </c>
    </row>
    <row r="5" spans="1:13" x14ac:dyDescent="0.25">
      <c r="A5" t="s">
        <v>101</v>
      </c>
      <c r="B5" t="s">
        <v>102</v>
      </c>
      <c r="C5" t="s">
        <v>202</v>
      </c>
      <c r="D5" s="24">
        <f>VLOOKUP(A5,'State Share Base Cost'!$A$3:$H$52,8,FALSE)</f>
        <v>0.85580112399999997</v>
      </c>
      <c r="E5" s="1">
        <f>VLOOKUP(A5,'ADM Data'!$A$2:$S$52,12,FALSE)</f>
        <v>0</v>
      </c>
      <c r="F5" s="1">
        <f>VLOOKUP(A5,'ADM Data'!$A$2:$S$52,13,FALSE)</f>
        <v>1</v>
      </c>
      <c r="G5" s="1">
        <f>VLOOKUP(A5,'ADM Data'!$A$2:$S$52,14,FALSE)</f>
        <v>0</v>
      </c>
      <c r="H5" s="1">
        <f>E5+F5+G5</f>
        <v>1</v>
      </c>
      <c r="I5" s="1">
        <f>E5*$E$2*$L$1*D5</f>
        <v>0</v>
      </c>
      <c r="J5" s="1">
        <f>F5*$F$2*$L$1*D5</f>
        <v>1112.2863443175322</v>
      </c>
      <c r="K5" s="17">
        <f>G5*$G$2*$L$1*D5</f>
        <v>0</v>
      </c>
      <c r="L5" s="1">
        <f>I5+J5+K5</f>
        <v>1112.2863443175322</v>
      </c>
      <c r="M5" s="1">
        <f>E5+F5+G5</f>
        <v>1</v>
      </c>
    </row>
    <row r="6" spans="1:13" x14ac:dyDescent="0.25">
      <c r="A6" t="s">
        <v>103</v>
      </c>
      <c r="B6" t="s">
        <v>104</v>
      </c>
      <c r="C6" t="s">
        <v>203</v>
      </c>
      <c r="D6" s="24">
        <f>VLOOKUP(A6,'State Share Base Cost'!$A$3:$H$52,8,FALSE)</f>
        <v>0.90951470899999998</v>
      </c>
      <c r="E6" s="1">
        <f>VLOOKUP(A6,'ADM Data'!$A$2:$S$52,12,FALSE)</f>
        <v>0</v>
      </c>
      <c r="F6" s="1">
        <f>VLOOKUP(A6,'ADM Data'!$A$2:$S$52,13,FALSE)</f>
        <v>0</v>
      </c>
      <c r="G6" s="1">
        <f>VLOOKUP(A6,'ADM Data'!$A$2:$S$52,14,FALSE)</f>
        <v>9.5588000000000006E-2</v>
      </c>
      <c r="H6" s="1">
        <f t="shared" ref="H6:H53" si="0">E6+F6+G6</f>
        <v>9.5588000000000006E-2</v>
      </c>
      <c r="I6" s="1">
        <f t="shared" ref="I6:I53" si="1">E6*$E$2*$L$1*D6</f>
        <v>0</v>
      </c>
      <c r="J6" s="1">
        <f t="shared" ref="J6:J53" si="2">F6*$F$2*$L$1*D6</f>
        <v>0</v>
      </c>
      <c r="K6" s="17">
        <f t="shared" ref="K6:K53" si="3">G6*$G$2*$L$1*D6</f>
        <v>75.449007745672475</v>
      </c>
      <c r="L6" s="1">
        <f t="shared" ref="L6:L53" si="4">I6+J6+K6</f>
        <v>75.449007745672475</v>
      </c>
      <c r="M6" s="1">
        <f t="shared" ref="M6:M53" si="5">E6+F6+G6</f>
        <v>9.5588000000000006E-2</v>
      </c>
    </row>
    <row r="7" spans="1:13" x14ac:dyDescent="0.25">
      <c r="A7" t="s">
        <v>105</v>
      </c>
      <c r="B7" t="s">
        <v>106</v>
      </c>
      <c r="C7" t="s">
        <v>204</v>
      </c>
      <c r="D7" s="24">
        <f>VLOOKUP(A7,'State Share Base Cost'!$A$3:$H$52,8,FALSE)</f>
        <v>0.84198645500000002</v>
      </c>
      <c r="E7" s="1">
        <f>VLOOKUP(A7,'ADM Data'!$A$2:$S$52,12,FALSE)</f>
        <v>0</v>
      </c>
      <c r="F7" s="1">
        <f>VLOOKUP(A7,'ADM Data'!$A$2:$S$52,13,FALSE)</f>
        <v>0</v>
      </c>
      <c r="G7" s="1">
        <f>VLOOKUP(A7,'ADM Data'!$A$2:$S$52,14,FALSE)</f>
        <v>2.3237000000000001E-2</v>
      </c>
      <c r="H7" s="1">
        <f t="shared" si="0"/>
        <v>2.3237000000000001E-2</v>
      </c>
      <c r="I7" s="1">
        <f t="shared" si="1"/>
        <v>0</v>
      </c>
      <c r="J7" s="1">
        <f t="shared" si="2"/>
        <v>0</v>
      </c>
      <c r="K7" s="17">
        <f t="shared" si="3"/>
        <v>16.979527228427788</v>
      </c>
      <c r="L7" s="1">
        <f t="shared" si="4"/>
        <v>16.979527228427788</v>
      </c>
      <c r="M7" s="1">
        <f t="shared" si="5"/>
        <v>2.3237000000000001E-2</v>
      </c>
    </row>
    <row r="8" spans="1:13" x14ac:dyDescent="0.25">
      <c r="A8" t="s">
        <v>107</v>
      </c>
      <c r="B8" t="s">
        <v>108</v>
      </c>
      <c r="C8" t="s">
        <v>205</v>
      </c>
      <c r="D8" s="24">
        <f>VLOOKUP(A8,'State Share Base Cost'!$A$3:$H$52,8,FALSE)</f>
        <v>0.73185130700000001</v>
      </c>
      <c r="E8" s="1">
        <f>VLOOKUP(A8,'ADM Data'!$A$2:$S$52,12,FALSE)</f>
        <v>0.12775400000000001</v>
      </c>
      <c r="F8" s="1">
        <f>VLOOKUP(A8,'ADM Data'!$A$2:$S$52,13,FALSE)</f>
        <v>2.0870959999999998</v>
      </c>
      <c r="G8" s="1">
        <f>VLOOKUP(A8,'ADM Data'!$A$2:$S$52,14,FALSE)</f>
        <v>5.8383999999999998E-2</v>
      </c>
      <c r="H8" s="1">
        <f t="shared" si="0"/>
        <v>2.273234</v>
      </c>
      <c r="I8" s="1">
        <f t="shared" si="1"/>
        <v>162.12692832774593</v>
      </c>
      <c r="J8" s="1">
        <f t="shared" si="2"/>
        <v>1985.2217804453287</v>
      </c>
      <c r="K8" s="17">
        <f t="shared" si="3"/>
        <v>37.081485980021007</v>
      </c>
      <c r="L8" s="1">
        <f t="shared" si="4"/>
        <v>2184.4301947530957</v>
      </c>
      <c r="M8" s="1">
        <f t="shared" si="5"/>
        <v>2.273234</v>
      </c>
    </row>
    <row r="9" spans="1:13" x14ac:dyDescent="0.25">
      <c r="A9" t="s">
        <v>109</v>
      </c>
      <c r="B9" t="s">
        <v>110</v>
      </c>
      <c r="C9" t="s">
        <v>206</v>
      </c>
      <c r="D9" s="24">
        <f>VLOOKUP(A9,'State Share Base Cost'!$A$3:$H$52,8,FALSE)</f>
        <v>0.82125809299999997</v>
      </c>
      <c r="E9" s="1">
        <f>VLOOKUP(A9,'ADM Data'!$A$2:$S$52,12,FALSE)</f>
        <v>7.5684180000000003</v>
      </c>
      <c r="F9" s="1">
        <f>VLOOKUP(A9,'ADM Data'!$A$2:$S$52,13,FALSE)</f>
        <v>131.72987800000001</v>
      </c>
      <c r="G9" s="1">
        <f>VLOOKUP(A9,'ADM Data'!$A$2:$S$52,14,FALSE)</f>
        <v>12.051529</v>
      </c>
      <c r="H9" s="1">
        <f t="shared" si="0"/>
        <v>151.34982500000001</v>
      </c>
      <c r="I9" s="1">
        <f t="shared" si="1"/>
        <v>10778.10889710652</v>
      </c>
      <c r="J9" s="1">
        <f t="shared" si="2"/>
        <v>140607.24687358551</v>
      </c>
      <c r="K9" s="17">
        <f t="shared" si="3"/>
        <v>8589.3884348924239</v>
      </c>
      <c r="L9" s="1">
        <f t="shared" si="4"/>
        <v>159974.74420558446</v>
      </c>
      <c r="M9" s="1">
        <f t="shared" si="5"/>
        <v>151.34982500000001</v>
      </c>
    </row>
    <row r="10" spans="1:13" x14ac:dyDescent="0.25">
      <c r="A10" t="s">
        <v>111</v>
      </c>
      <c r="B10" t="s">
        <v>112</v>
      </c>
      <c r="C10" t="s">
        <v>207</v>
      </c>
      <c r="D10" s="24">
        <f>VLOOKUP(A10,'State Share Base Cost'!$A$3:$H$52,8,FALSE)</f>
        <v>0.77544779200000002</v>
      </c>
      <c r="E10" s="1">
        <f>VLOOKUP(A10,'ADM Data'!$A$2:$S$52,12,FALSE)</f>
        <v>0</v>
      </c>
      <c r="F10" s="1">
        <f>VLOOKUP(A10,'ADM Data'!$A$2:$S$52,13,FALSE)</f>
        <v>0</v>
      </c>
      <c r="G10" s="1">
        <f>VLOOKUP(A10,'ADM Data'!$A$2:$S$52,14,FALSE)</f>
        <v>0</v>
      </c>
      <c r="H10" s="1">
        <f t="shared" si="0"/>
        <v>0</v>
      </c>
      <c r="I10" s="1">
        <f t="shared" si="1"/>
        <v>0</v>
      </c>
      <c r="J10" s="1">
        <f t="shared" si="2"/>
        <v>0</v>
      </c>
      <c r="K10" s="17">
        <f t="shared" si="3"/>
        <v>0</v>
      </c>
      <c r="L10" s="1">
        <f t="shared" si="4"/>
        <v>0</v>
      </c>
      <c r="M10" s="1">
        <f t="shared" si="5"/>
        <v>0</v>
      </c>
    </row>
    <row r="11" spans="1:13" x14ac:dyDescent="0.25">
      <c r="A11" t="s">
        <v>113</v>
      </c>
      <c r="B11" t="s">
        <v>114</v>
      </c>
      <c r="C11" t="s">
        <v>208</v>
      </c>
      <c r="D11" s="24">
        <f>VLOOKUP(A11,'State Share Base Cost'!$A$3:$H$52,8,FALSE)</f>
        <v>0.21452795799999999</v>
      </c>
      <c r="E11" s="1">
        <f>VLOOKUP(A11,'ADM Data'!$A$2:$S$52,12,FALSE)</f>
        <v>0</v>
      </c>
      <c r="F11" s="1">
        <f>VLOOKUP(A11,'ADM Data'!$A$2:$S$52,13,FALSE)</f>
        <v>2.6016949999999999</v>
      </c>
      <c r="G11" s="1">
        <f>VLOOKUP(A11,'ADM Data'!$A$2:$S$52,14,FALSE)</f>
        <v>0</v>
      </c>
      <c r="H11" s="1">
        <f t="shared" si="0"/>
        <v>2.6016949999999999</v>
      </c>
      <c r="I11" s="1">
        <f t="shared" si="1"/>
        <v>0</v>
      </c>
      <c r="J11" s="1">
        <f t="shared" si="2"/>
        <v>725.41082828533717</v>
      </c>
      <c r="K11" s="17">
        <f t="shared" si="3"/>
        <v>0</v>
      </c>
      <c r="L11" s="1">
        <f t="shared" si="4"/>
        <v>725.41082828533717</v>
      </c>
      <c r="M11" s="1">
        <f t="shared" si="5"/>
        <v>2.6016949999999999</v>
      </c>
    </row>
    <row r="12" spans="1:13" x14ac:dyDescent="0.25">
      <c r="A12" t="s">
        <v>115</v>
      </c>
      <c r="B12" t="s">
        <v>116</v>
      </c>
      <c r="C12" t="s">
        <v>208</v>
      </c>
      <c r="D12" s="24">
        <f>VLOOKUP(A12,'State Share Base Cost'!$A$3:$H$52,8,FALSE)</f>
        <v>0.55386008499999995</v>
      </c>
      <c r="E12" s="1">
        <f>VLOOKUP(A12,'ADM Data'!$A$2:$S$52,12,FALSE)</f>
        <v>0</v>
      </c>
      <c r="F12" s="1">
        <f>VLOOKUP(A12,'ADM Data'!$A$2:$S$52,13,FALSE)</f>
        <v>0</v>
      </c>
      <c r="G12" s="1">
        <f>VLOOKUP(A12,'ADM Data'!$A$2:$S$52,14,FALSE)</f>
        <v>0.71042000000000005</v>
      </c>
      <c r="H12" s="1">
        <f t="shared" si="0"/>
        <v>0.71042000000000005</v>
      </c>
      <c r="I12" s="1">
        <f t="shared" si="1"/>
        <v>0</v>
      </c>
      <c r="J12" s="1">
        <f t="shared" si="2"/>
        <v>0</v>
      </c>
      <c r="K12" s="17">
        <f t="shared" si="3"/>
        <v>341.47245588587458</v>
      </c>
      <c r="L12" s="1">
        <f t="shared" si="4"/>
        <v>341.47245588587458</v>
      </c>
      <c r="M12" s="1">
        <f t="shared" si="5"/>
        <v>0.71042000000000005</v>
      </c>
    </row>
    <row r="13" spans="1:13" x14ac:dyDescent="0.25">
      <c r="A13" t="s">
        <v>117</v>
      </c>
      <c r="B13" t="s">
        <v>118</v>
      </c>
      <c r="C13" t="s">
        <v>209</v>
      </c>
      <c r="D13" s="24">
        <f>VLOOKUP(A13,'State Share Base Cost'!$A$3:$H$52,8,FALSE)</f>
        <v>0.77675368700000003</v>
      </c>
      <c r="E13" s="1">
        <f>VLOOKUP(A13,'ADM Data'!$A$2:$S$52,12,FALSE)</f>
        <v>0</v>
      </c>
      <c r="F13" s="1">
        <f>VLOOKUP(A13,'ADM Data'!$A$2:$S$52,13,FALSE)</f>
        <v>6.1790500000000002</v>
      </c>
      <c r="G13" s="1">
        <f>VLOOKUP(A13,'ADM Data'!$A$2:$S$52,14,FALSE)</f>
        <v>0</v>
      </c>
      <c r="H13" s="1">
        <f t="shared" si="0"/>
        <v>6.1790500000000002</v>
      </c>
      <c r="I13" s="1">
        <f t="shared" si="1"/>
        <v>0</v>
      </c>
      <c r="J13" s="1">
        <f t="shared" si="2"/>
        <v>6238.0490554346115</v>
      </c>
      <c r="K13" s="17">
        <f t="shared" si="3"/>
        <v>0</v>
      </c>
      <c r="L13" s="1">
        <f t="shared" si="4"/>
        <v>6238.0490554346115</v>
      </c>
      <c r="M13" s="1">
        <f t="shared" si="5"/>
        <v>6.1790500000000002</v>
      </c>
    </row>
    <row r="14" spans="1:13" x14ac:dyDescent="0.25">
      <c r="A14" t="s">
        <v>119</v>
      </c>
      <c r="B14" t="s">
        <v>120</v>
      </c>
      <c r="C14" t="s">
        <v>210</v>
      </c>
      <c r="D14" s="24">
        <f>VLOOKUP(A14,'State Share Base Cost'!$A$3:$H$52,8,FALSE)</f>
        <v>0.45174148600000003</v>
      </c>
      <c r="E14" s="1">
        <f>VLOOKUP(A14,'ADM Data'!$A$2:$S$52,12,FALSE)</f>
        <v>0</v>
      </c>
      <c r="F14" s="1">
        <f>VLOOKUP(A14,'ADM Data'!$A$2:$S$52,13,FALSE)</f>
        <v>13.184801999999999</v>
      </c>
      <c r="G14" s="1">
        <f>VLOOKUP(A14,'ADM Data'!$A$2:$S$52,14,FALSE)</f>
        <v>2.5</v>
      </c>
      <c r="H14" s="1">
        <f t="shared" si="0"/>
        <v>15.684801999999999</v>
      </c>
      <c r="I14" s="1">
        <f t="shared" si="1"/>
        <v>0</v>
      </c>
      <c r="J14" s="1">
        <f t="shared" si="2"/>
        <v>7741.183124673601</v>
      </c>
      <c r="K14" s="17">
        <f t="shared" si="3"/>
        <v>980.10005932484512</v>
      </c>
      <c r="L14" s="1">
        <f t="shared" si="4"/>
        <v>8721.2831839984465</v>
      </c>
      <c r="M14" s="1">
        <f t="shared" si="5"/>
        <v>15.684801999999999</v>
      </c>
    </row>
    <row r="15" spans="1:13" x14ac:dyDescent="0.25">
      <c r="A15" t="s">
        <v>121</v>
      </c>
      <c r="B15" t="s">
        <v>122</v>
      </c>
      <c r="C15" t="s">
        <v>211</v>
      </c>
      <c r="D15" s="24">
        <f>VLOOKUP(A15,'State Share Base Cost'!$A$3:$H$52,8,FALSE)</f>
        <v>0.58745953900000003</v>
      </c>
      <c r="E15" s="1">
        <f>VLOOKUP(A15,'ADM Data'!$A$2:$S$52,12,FALSE)</f>
        <v>0</v>
      </c>
      <c r="F15" s="1">
        <f>VLOOKUP(A15,'ADM Data'!$A$2:$S$52,13,FALSE)</f>
        <v>44.149867</v>
      </c>
      <c r="G15" s="1">
        <f>VLOOKUP(A15,'ADM Data'!$A$2:$S$52,14,FALSE)</f>
        <v>3.9334639999999998</v>
      </c>
      <c r="H15" s="1">
        <f t="shared" si="0"/>
        <v>48.083331000000001</v>
      </c>
      <c r="I15" s="1">
        <f t="shared" si="1"/>
        <v>0</v>
      </c>
      <c r="J15" s="1">
        <f t="shared" si="2"/>
        <v>33709.406992082491</v>
      </c>
      <c r="K15" s="17">
        <f t="shared" si="3"/>
        <v>2005.3656451916731</v>
      </c>
      <c r="L15" s="1">
        <f t="shared" si="4"/>
        <v>35714.772637274167</v>
      </c>
      <c r="M15" s="1">
        <f t="shared" si="5"/>
        <v>48.083331000000001</v>
      </c>
    </row>
    <row r="16" spans="1:13" x14ac:dyDescent="0.25">
      <c r="A16" t="s">
        <v>123</v>
      </c>
      <c r="B16" t="s">
        <v>124</v>
      </c>
      <c r="C16" t="s">
        <v>212</v>
      </c>
      <c r="D16" s="24">
        <f>VLOOKUP(A16,'State Share Base Cost'!$A$3:$H$52,8,FALSE)</f>
        <v>0.73536283999999996</v>
      </c>
      <c r="E16" s="1">
        <f>VLOOKUP(A16,'ADM Data'!$A$2:$S$52,12,FALSE)</f>
        <v>0</v>
      </c>
      <c r="F16" s="1">
        <f>VLOOKUP(A16,'ADM Data'!$A$2:$S$52,13,FALSE)</f>
        <v>3.5</v>
      </c>
      <c r="G16" s="1">
        <f>VLOOKUP(A16,'ADM Data'!$A$2:$S$52,14,FALSE)</f>
        <v>0</v>
      </c>
      <c r="H16" s="1">
        <f t="shared" si="0"/>
        <v>3.5</v>
      </c>
      <c r="I16" s="1">
        <f t="shared" si="1"/>
        <v>0</v>
      </c>
      <c r="J16" s="1">
        <f t="shared" si="2"/>
        <v>3345.1336734595766</v>
      </c>
      <c r="K16" s="17">
        <f t="shared" si="3"/>
        <v>0</v>
      </c>
      <c r="L16" s="1">
        <f t="shared" si="4"/>
        <v>3345.1336734595766</v>
      </c>
      <c r="M16" s="1">
        <f t="shared" si="5"/>
        <v>3.5</v>
      </c>
    </row>
    <row r="17" spans="1:13" x14ac:dyDescent="0.25">
      <c r="A17" t="s">
        <v>125</v>
      </c>
      <c r="B17" t="s">
        <v>126</v>
      </c>
      <c r="C17" t="s">
        <v>213</v>
      </c>
      <c r="D17" s="24">
        <f>VLOOKUP(A17,'State Share Base Cost'!$A$3:$H$52,8,FALSE)</f>
        <v>0.77291465400000003</v>
      </c>
      <c r="E17" s="1">
        <f>VLOOKUP(A17,'ADM Data'!$A$2:$S$52,12,FALSE)</f>
        <v>0</v>
      </c>
      <c r="F17" s="1">
        <f>VLOOKUP(A17,'ADM Data'!$A$2:$S$52,13,FALSE)</f>
        <v>3.5689099999999998</v>
      </c>
      <c r="G17" s="1">
        <f>VLOOKUP(A17,'ADM Data'!$A$2:$S$52,14,FALSE)</f>
        <v>0.28000000000000003</v>
      </c>
      <c r="H17" s="1">
        <f t="shared" si="0"/>
        <v>3.8489100000000001</v>
      </c>
      <c r="I17" s="1">
        <f t="shared" si="1"/>
        <v>0</v>
      </c>
      <c r="J17" s="1">
        <f t="shared" si="2"/>
        <v>3585.1793831019431</v>
      </c>
      <c r="K17" s="17">
        <f t="shared" si="3"/>
        <v>187.81488269754695</v>
      </c>
      <c r="L17" s="1">
        <f t="shared" si="4"/>
        <v>3772.9942657994902</v>
      </c>
      <c r="M17" s="1">
        <f t="shared" si="5"/>
        <v>3.8489100000000001</v>
      </c>
    </row>
    <row r="18" spans="1:13" x14ac:dyDescent="0.25">
      <c r="A18" t="s">
        <v>127</v>
      </c>
      <c r="B18" t="s">
        <v>128</v>
      </c>
      <c r="C18" t="s">
        <v>214</v>
      </c>
      <c r="D18" s="24">
        <f>VLOOKUP(A18,'State Share Base Cost'!$A$3:$H$52,8,FALSE)</f>
        <v>0.70158564199999995</v>
      </c>
      <c r="E18" s="1">
        <f>VLOOKUP(A18,'ADM Data'!$A$2:$S$52,12,FALSE)</f>
        <v>1</v>
      </c>
      <c r="F18" s="1">
        <f>VLOOKUP(A18,'ADM Data'!$A$2:$S$52,13,FALSE)</f>
        <v>35.404100999999997</v>
      </c>
      <c r="G18" s="1">
        <f>VLOOKUP(A18,'ADM Data'!$A$2:$S$52,14,FALSE)</f>
        <v>6.4017710000000001</v>
      </c>
      <c r="H18" s="1">
        <f t="shared" si="0"/>
        <v>42.805871999999994</v>
      </c>
      <c r="I18" s="1">
        <f t="shared" si="1"/>
        <v>1216.5738791195456</v>
      </c>
      <c r="J18" s="1">
        <f t="shared" si="2"/>
        <v>32283.307025294278</v>
      </c>
      <c r="K18" s="17">
        <f t="shared" si="3"/>
        <v>3897.8153183347808</v>
      </c>
      <c r="L18" s="1">
        <f t="shared" si="4"/>
        <v>37397.696222748607</v>
      </c>
      <c r="M18" s="1">
        <f t="shared" si="5"/>
        <v>42.805871999999994</v>
      </c>
    </row>
    <row r="19" spans="1:13" x14ac:dyDescent="0.25">
      <c r="A19" t="s">
        <v>129</v>
      </c>
      <c r="B19" t="s">
        <v>130</v>
      </c>
      <c r="C19" t="s">
        <v>215</v>
      </c>
      <c r="D19" s="24">
        <f>VLOOKUP(A19,'State Share Base Cost'!$A$3:$H$52,8,FALSE)</f>
        <v>0.76996111300000003</v>
      </c>
      <c r="E19" s="1">
        <f>VLOOKUP(A19,'ADM Data'!$A$2:$S$52,12,FALSE)</f>
        <v>0</v>
      </c>
      <c r="F19" s="1">
        <f>VLOOKUP(A19,'ADM Data'!$A$2:$S$52,13,FALSE)</f>
        <v>0</v>
      </c>
      <c r="G19" s="1">
        <f>VLOOKUP(A19,'ADM Data'!$A$2:$S$52,14,FALSE)</f>
        <v>0</v>
      </c>
      <c r="H19" s="1">
        <f t="shared" si="0"/>
        <v>0</v>
      </c>
      <c r="I19" s="1">
        <f t="shared" si="1"/>
        <v>0</v>
      </c>
      <c r="J19" s="1">
        <f t="shared" si="2"/>
        <v>0</v>
      </c>
      <c r="K19" s="17">
        <f t="shared" si="3"/>
        <v>0</v>
      </c>
      <c r="L19" s="1">
        <f t="shared" si="4"/>
        <v>0</v>
      </c>
      <c r="M19" s="1">
        <f t="shared" si="5"/>
        <v>0</v>
      </c>
    </row>
    <row r="20" spans="1:13" x14ac:dyDescent="0.25">
      <c r="A20" t="s">
        <v>131</v>
      </c>
      <c r="B20" t="s">
        <v>132</v>
      </c>
      <c r="C20" t="s">
        <v>216</v>
      </c>
      <c r="D20" s="24">
        <f>VLOOKUP(A20,'State Share Base Cost'!$A$3:$H$52,8,FALSE)</f>
        <v>0.82963948899999995</v>
      </c>
      <c r="E20" s="1">
        <f>VLOOKUP(A20,'ADM Data'!$A$2:$S$52,12,FALSE)</f>
        <v>0</v>
      </c>
      <c r="F20" s="1">
        <f>VLOOKUP(A20,'ADM Data'!$A$2:$S$52,13,FALSE)</f>
        <v>2.8415910000000002</v>
      </c>
      <c r="G20" s="1">
        <f>VLOOKUP(A20,'ADM Data'!$A$2:$S$52,14,FALSE)</f>
        <v>0</v>
      </c>
      <c r="H20" s="1">
        <f t="shared" si="0"/>
        <v>2.8415910000000002</v>
      </c>
      <c r="I20" s="1">
        <f t="shared" si="1"/>
        <v>0</v>
      </c>
      <c r="J20" s="1">
        <f t="shared" si="2"/>
        <v>3064.0421600816544</v>
      </c>
      <c r="K20" s="17">
        <f t="shared" si="3"/>
        <v>0</v>
      </c>
      <c r="L20" s="1">
        <f t="shared" si="4"/>
        <v>3064.0421600816544</v>
      </c>
      <c r="M20" s="1">
        <f t="shared" si="5"/>
        <v>2.8415910000000002</v>
      </c>
    </row>
    <row r="21" spans="1:13" x14ac:dyDescent="0.25">
      <c r="A21" t="s">
        <v>133</v>
      </c>
      <c r="B21" t="s">
        <v>134</v>
      </c>
      <c r="C21" t="s">
        <v>217</v>
      </c>
      <c r="D21" s="24">
        <f>VLOOKUP(A21,'State Share Base Cost'!$A$3:$H$52,8,FALSE)</f>
        <v>0.43655084</v>
      </c>
      <c r="E21" s="1">
        <f>VLOOKUP(A21,'ADM Data'!$A$2:$S$52,12,FALSE)</f>
        <v>0</v>
      </c>
      <c r="F21" s="1">
        <f>VLOOKUP(A21,'ADM Data'!$A$2:$S$52,13,FALSE)</f>
        <v>0</v>
      </c>
      <c r="G21" s="1">
        <f>VLOOKUP(A21,'ADM Data'!$A$2:$S$52,14,FALSE)</f>
        <v>0.5</v>
      </c>
      <c r="H21" s="1">
        <f t="shared" si="0"/>
        <v>0.5</v>
      </c>
      <c r="I21" s="1">
        <f t="shared" si="1"/>
        <v>0</v>
      </c>
      <c r="J21" s="1">
        <f t="shared" si="2"/>
        <v>0</v>
      </c>
      <c r="K21" s="17">
        <f t="shared" si="3"/>
        <v>189.42847510901888</v>
      </c>
      <c r="L21" s="1">
        <f t="shared" si="4"/>
        <v>189.42847510901888</v>
      </c>
      <c r="M21" s="1">
        <f t="shared" si="5"/>
        <v>0.5</v>
      </c>
    </row>
    <row r="22" spans="1:13" x14ac:dyDescent="0.25">
      <c r="A22" t="s">
        <v>135</v>
      </c>
      <c r="B22" t="s">
        <v>136</v>
      </c>
      <c r="C22" t="s">
        <v>218</v>
      </c>
      <c r="D22" s="24">
        <f>VLOOKUP(A22,'State Share Base Cost'!$A$3:$H$52,8,FALSE)</f>
        <v>0.88675857800000002</v>
      </c>
      <c r="E22" s="1">
        <f>VLOOKUP(A22,'ADM Data'!$A$2:$S$52,12,FALSE)</f>
        <v>0</v>
      </c>
      <c r="F22" s="1">
        <f>VLOOKUP(A22,'ADM Data'!$A$2:$S$52,13,FALSE)</f>
        <v>0</v>
      </c>
      <c r="G22" s="1">
        <f>VLOOKUP(A22,'ADM Data'!$A$2:$S$52,14,FALSE)</f>
        <v>0</v>
      </c>
      <c r="H22" s="1">
        <f t="shared" si="0"/>
        <v>0</v>
      </c>
      <c r="I22" s="1">
        <f t="shared" si="1"/>
        <v>0</v>
      </c>
      <c r="J22" s="1">
        <f t="shared" si="2"/>
        <v>0</v>
      </c>
      <c r="K22" s="17">
        <f t="shared" si="3"/>
        <v>0</v>
      </c>
      <c r="L22" s="1">
        <f t="shared" si="4"/>
        <v>0</v>
      </c>
      <c r="M22" s="1">
        <f t="shared" si="5"/>
        <v>0</v>
      </c>
    </row>
    <row r="23" spans="1:13" x14ac:dyDescent="0.25">
      <c r="A23" t="s">
        <v>137</v>
      </c>
      <c r="B23" t="s">
        <v>138</v>
      </c>
      <c r="C23" t="s">
        <v>219</v>
      </c>
      <c r="D23" s="24">
        <f>VLOOKUP(A23,'State Share Base Cost'!$A$3:$H$52,8,FALSE)</f>
        <v>0.67554302099999997</v>
      </c>
      <c r="E23" s="1">
        <f>VLOOKUP(A23,'ADM Data'!$A$2:$S$52,12,FALSE)</f>
        <v>0</v>
      </c>
      <c r="F23" s="1">
        <f>VLOOKUP(A23,'ADM Data'!$A$2:$S$52,13,FALSE)</f>
        <v>13.127901</v>
      </c>
      <c r="G23" s="1">
        <f>VLOOKUP(A23,'ADM Data'!$A$2:$S$52,14,FALSE)</f>
        <v>2.5499999999999998</v>
      </c>
      <c r="H23" s="1">
        <f t="shared" si="0"/>
        <v>15.677900999999999</v>
      </c>
      <c r="I23" s="1">
        <f t="shared" si="1"/>
        <v>0</v>
      </c>
      <c r="J23" s="1">
        <f t="shared" si="2"/>
        <v>11526.356756109544</v>
      </c>
      <c r="K23" s="17">
        <f t="shared" si="3"/>
        <v>1494.9739419278324</v>
      </c>
      <c r="L23" s="1">
        <f t="shared" si="4"/>
        <v>13021.330698037376</v>
      </c>
      <c r="M23" s="1">
        <f t="shared" si="5"/>
        <v>15.677900999999999</v>
      </c>
    </row>
    <row r="24" spans="1:13" x14ac:dyDescent="0.25">
      <c r="A24" t="s">
        <v>139</v>
      </c>
      <c r="B24" t="s">
        <v>140</v>
      </c>
      <c r="C24" t="s">
        <v>220</v>
      </c>
      <c r="D24" s="24">
        <f>VLOOKUP(A24,'State Share Base Cost'!$A$3:$H$52,8,FALSE)</f>
        <v>0.684246629</v>
      </c>
      <c r="E24" s="1">
        <f>VLOOKUP(A24,'ADM Data'!$A$2:$S$52,12,FALSE)</f>
        <v>0</v>
      </c>
      <c r="F24" s="1">
        <f>VLOOKUP(A24,'ADM Data'!$A$2:$S$52,13,FALSE)</f>
        <v>3</v>
      </c>
      <c r="G24" s="1">
        <f>VLOOKUP(A24,'ADM Data'!$A$2:$S$52,14,FALSE)</f>
        <v>0</v>
      </c>
      <c r="H24" s="1">
        <f t="shared" si="0"/>
        <v>3</v>
      </c>
      <c r="I24" s="1">
        <f t="shared" si="1"/>
        <v>0</v>
      </c>
      <c r="J24" s="1">
        <f t="shared" si="2"/>
        <v>2667.9499251814659</v>
      </c>
      <c r="K24" s="17">
        <f t="shared" si="3"/>
        <v>0</v>
      </c>
      <c r="L24" s="1">
        <f t="shared" si="4"/>
        <v>2667.9499251814659</v>
      </c>
      <c r="M24" s="1">
        <f t="shared" si="5"/>
        <v>3</v>
      </c>
    </row>
    <row r="25" spans="1:13" x14ac:dyDescent="0.25">
      <c r="A25" t="s">
        <v>141</v>
      </c>
      <c r="B25" t="s">
        <v>142</v>
      </c>
      <c r="C25" t="s">
        <v>221</v>
      </c>
      <c r="D25" s="24">
        <f>VLOOKUP(A25,'State Share Base Cost'!$A$3:$H$52,8,FALSE)</f>
        <v>0.69261277899999996</v>
      </c>
      <c r="E25" s="1">
        <f>VLOOKUP(A25,'ADM Data'!$A$2:$S$52,12,FALSE)</f>
        <v>0</v>
      </c>
      <c r="F25" s="1">
        <f>VLOOKUP(A25,'ADM Data'!$A$2:$S$52,13,FALSE)</f>
        <v>5.0508470000000001</v>
      </c>
      <c r="G25" s="1">
        <f>VLOOKUP(A25,'ADM Data'!$A$2:$S$52,14,FALSE)</f>
        <v>0</v>
      </c>
      <c r="H25" s="1">
        <f t="shared" si="0"/>
        <v>5.0508470000000001</v>
      </c>
      <c r="I25" s="1">
        <f t="shared" si="1"/>
        <v>0</v>
      </c>
      <c r="J25" s="1">
        <f t="shared" si="2"/>
        <v>4546.7226819522584</v>
      </c>
      <c r="K25" s="17">
        <f t="shared" si="3"/>
        <v>0</v>
      </c>
      <c r="L25" s="1">
        <f t="shared" si="4"/>
        <v>4546.7226819522584</v>
      </c>
      <c r="M25" s="1">
        <f t="shared" si="5"/>
        <v>5.0508470000000001</v>
      </c>
    </row>
    <row r="26" spans="1:13" x14ac:dyDescent="0.25">
      <c r="A26" t="s">
        <v>143</v>
      </c>
      <c r="B26" t="s">
        <v>144</v>
      </c>
      <c r="C26" t="s">
        <v>222</v>
      </c>
      <c r="D26" s="24">
        <f>VLOOKUP(A26,'State Share Base Cost'!$A$3:$H$52,8,FALSE)</f>
        <v>0.78459845299999997</v>
      </c>
      <c r="E26" s="1">
        <f>VLOOKUP(A26,'ADM Data'!$A$2:$S$52,12,FALSE)</f>
        <v>0</v>
      </c>
      <c r="F26" s="1">
        <f>VLOOKUP(A26,'ADM Data'!$A$2:$S$52,13,FALSE)</f>
        <v>3.27</v>
      </c>
      <c r="G26" s="1">
        <f>VLOOKUP(A26,'ADM Data'!$A$2:$S$52,14,FALSE)</f>
        <v>2.1198239999999999</v>
      </c>
      <c r="H26" s="1">
        <f t="shared" si="0"/>
        <v>5.3898239999999999</v>
      </c>
      <c r="I26" s="1">
        <f t="shared" si="1"/>
        <v>0</v>
      </c>
      <c r="J26" s="1">
        <f t="shared" si="2"/>
        <v>3334.5631996338843</v>
      </c>
      <c r="K26" s="17">
        <f t="shared" si="3"/>
        <v>1443.4032637369444</v>
      </c>
      <c r="L26" s="1">
        <f t="shared" si="4"/>
        <v>4777.9664633708289</v>
      </c>
      <c r="M26" s="1">
        <f t="shared" si="5"/>
        <v>5.3898239999999999</v>
      </c>
    </row>
    <row r="27" spans="1:13" x14ac:dyDescent="0.25">
      <c r="A27" t="s">
        <v>145</v>
      </c>
      <c r="B27" t="s">
        <v>146</v>
      </c>
      <c r="C27" t="s">
        <v>223</v>
      </c>
      <c r="D27" s="24">
        <f>VLOOKUP(A27,'State Share Base Cost'!$A$3:$H$52,8,FALSE)</f>
        <v>0.76590154499999996</v>
      </c>
      <c r="E27" s="1">
        <f>VLOOKUP(A27,'ADM Data'!$A$2:$S$52,12,FALSE)</f>
        <v>0</v>
      </c>
      <c r="F27" s="1">
        <f>VLOOKUP(A27,'ADM Data'!$A$2:$S$52,13,FALSE)</f>
        <v>0</v>
      </c>
      <c r="G27" s="1">
        <f>VLOOKUP(A27,'ADM Data'!$A$2:$S$52,14,FALSE)</f>
        <v>0</v>
      </c>
      <c r="H27" s="1">
        <f t="shared" si="0"/>
        <v>0</v>
      </c>
      <c r="I27" s="1">
        <f t="shared" si="1"/>
        <v>0</v>
      </c>
      <c r="J27" s="1">
        <f t="shared" si="2"/>
        <v>0</v>
      </c>
      <c r="K27" s="17">
        <f t="shared" si="3"/>
        <v>0</v>
      </c>
      <c r="L27" s="1">
        <f t="shared" si="4"/>
        <v>0</v>
      </c>
      <c r="M27" s="1">
        <f t="shared" si="5"/>
        <v>0</v>
      </c>
    </row>
    <row r="28" spans="1:13" x14ac:dyDescent="0.25">
      <c r="A28" t="s">
        <v>147</v>
      </c>
      <c r="B28" t="s">
        <v>148</v>
      </c>
      <c r="C28" t="s">
        <v>224</v>
      </c>
      <c r="D28" s="24">
        <f>VLOOKUP(A28,'State Share Base Cost'!$A$3:$H$52,8,FALSE)</f>
        <v>0.78987996199999999</v>
      </c>
      <c r="E28" s="1">
        <f>VLOOKUP(A28,'ADM Data'!$A$2:$S$52,12,FALSE)</f>
        <v>0.43389499999999998</v>
      </c>
      <c r="F28" s="1">
        <f>VLOOKUP(A28,'ADM Data'!$A$2:$S$52,13,FALSE)</f>
        <v>1.0939160000000001</v>
      </c>
      <c r="G28" s="1">
        <f>VLOOKUP(A28,'ADM Data'!$A$2:$S$52,14,FALSE)</f>
        <v>0.52953499999999998</v>
      </c>
      <c r="H28" s="1">
        <f t="shared" si="0"/>
        <v>2.0573459999999999</v>
      </c>
      <c r="I28" s="1">
        <f t="shared" si="1"/>
        <v>594.29699887441325</v>
      </c>
      <c r="J28" s="1">
        <f t="shared" si="2"/>
        <v>1123.0234474922338</v>
      </c>
      <c r="K28" s="17">
        <f t="shared" si="3"/>
        <v>362.99128452101752</v>
      </c>
      <c r="L28" s="1">
        <f t="shared" si="4"/>
        <v>2080.3117308876645</v>
      </c>
      <c r="M28" s="1">
        <f t="shared" si="5"/>
        <v>2.0573459999999999</v>
      </c>
    </row>
    <row r="29" spans="1:13" x14ac:dyDescent="0.25">
      <c r="A29" t="s">
        <v>149</v>
      </c>
      <c r="B29" t="s">
        <v>150</v>
      </c>
      <c r="C29" t="s">
        <v>225</v>
      </c>
      <c r="D29" s="24">
        <f>VLOOKUP(A29,'State Share Base Cost'!$A$3:$H$52,8,FALSE)</f>
        <v>0.80623046600000003</v>
      </c>
      <c r="E29" s="1">
        <f>VLOOKUP(A29,'ADM Data'!$A$2:$S$52,12,FALSE)</f>
        <v>0</v>
      </c>
      <c r="F29" s="1">
        <f>VLOOKUP(A29,'ADM Data'!$A$2:$S$52,13,FALSE)</f>
        <v>7</v>
      </c>
      <c r="G29" s="1">
        <f>VLOOKUP(A29,'ADM Data'!$A$2:$S$52,14,FALSE)</f>
        <v>0.14000000000000001</v>
      </c>
      <c r="H29" s="1">
        <f t="shared" si="0"/>
        <v>7.14</v>
      </c>
      <c r="I29" s="1">
        <f t="shared" si="1"/>
        <v>0</v>
      </c>
      <c r="J29" s="1">
        <f t="shared" si="2"/>
        <v>7335.0148625557604</v>
      </c>
      <c r="K29" s="17">
        <f t="shared" si="3"/>
        <v>97.955239699064236</v>
      </c>
      <c r="L29" s="1">
        <f t="shared" si="4"/>
        <v>7432.9701022548243</v>
      </c>
      <c r="M29" s="1">
        <f t="shared" si="5"/>
        <v>7.14</v>
      </c>
    </row>
    <row r="30" spans="1:13" x14ac:dyDescent="0.25">
      <c r="A30" t="s">
        <v>151</v>
      </c>
      <c r="B30" t="s">
        <v>152</v>
      </c>
      <c r="C30" t="s">
        <v>226</v>
      </c>
      <c r="D30" s="24">
        <f>VLOOKUP(A30,'State Share Base Cost'!$A$3:$H$52,8,FALSE)</f>
        <v>0.93411167100000003</v>
      </c>
      <c r="E30" s="1">
        <f>VLOOKUP(A30,'ADM Data'!$A$2:$S$52,12,FALSE)</f>
        <v>0</v>
      </c>
      <c r="F30" s="1">
        <f>VLOOKUP(A30,'ADM Data'!$A$2:$S$52,13,FALSE)</f>
        <v>0</v>
      </c>
      <c r="G30" s="1">
        <f>VLOOKUP(A30,'ADM Data'!$A$2:$S$52,14,FALSE)</f>
        <v>0</v>
      </c>
      <c r="H30" s="1">
        <f t="shared" si="0"/>
        <v>0</v>
      </c>
      <c r="I30" s="1">
        <f t="shared" si="1"/>
        <v>0</v>
      </c>
      <c r="J30" s="1">
        <f t="shared" si="2"/>
        <v>0</v>
      </c>
      <c r="K30" s="17">
        <f t="shared" si="3"/>
        <v>0</v>
      </c>
      <c r="L30" s="1">
        <f t="shared" si="4"/>
        <v>0</v>
      </c>
      <c r="M30" s="1">
        <f t="shared" si="5"/>
        <v>0</v>
      </c>
    </row>
    <row r="31" spans="1:13" x14ac:dyDescent="0.25">
      <c r="A31" t="s">
        <v>153</v>
      </c>
      <c r="B31" t="s">
        <v>154</v>
      </c>
      <c r="C31" t="s">
        <v>227</v>
      </c>
      <c r="D31" s="24">
        <f>VLOOKUP(A31,'State Share Base Cost'!$A$3:$H$52,8,FALSE)</f>
        <v>0.76344750299999997</v>
      </c>
      <c r="E31" s="1">
        <f>VLOOKUP(A31,'ADM Data'!$A$2:$S$52,12,FALSE)</f>
        <v>0</v>
      </c>
      <c r="F31" s="1">
        <f>VLOOKUP(A31,'ADM Data'!$A$2:$S$52,13,FALSE)</f>
        <v>0</v>
      </c>
      <c r="G31" s="1">
        <f>VLOOKUP(A31,'ADM Data'!$A$2:$S$52,14,FALSE)</f>
        <v>0</v>
      </c>
      <c r="H31" s="1">
        <f t="shared" si="0"/>
        <v>0</v>
      </c>
      <c r="I31" s="1">
        <f t="shared" si="1"/>
        <v>0</v>
      </c>
      <c r="J31" s="1">
        <f t="shared" si="2"/>
        <v>0</v>
      </c>
      <c r="K31" s="17">
        <f t="shared" si="3"/>
        <v>0</v>
      </c>
      <c r="L31" s="1">
        <f t="shared" si="4"/>
        <v>0</v>
      </c>
      <c r="M31" s="1">
        <f t="shared" si="5"/>
        <v>0</v>
      </c>
    </row>
    <row r="32" spans="1:13" x14ac:dyDescent="0.25">
      <c r="A32" t="s">
        <v>155</v>
      </c>
      <c r="B32" t="s">
        <v>156</v>
      </c>
      <c r="C32" t="s">
        <v>228</v>
      </c>
      <c r="D32" s="24">
        <f>VLOOKUP(A32,'State Share Base Cost'!$A$3:$H$52,8,FALSE)</f>
        <v>0.87171116199999998</v>
      </c>
      <c r="E32" s="1">
        <f>VLOOKUP(A32,'ADM Data'!$A$2:$S$52,12,FALSE)</f>
        <v>2</v>
      </c>
      <c r="F32" s="1">
        <f>VLOOKUP(A32,'ADM Data'!$A$2:$S$52,13,FALSE)</f>
        <v>23.197225</v>
      </c>
      <c r="G32" s="1">
        <f>VLOOKUP(A32,'ADM Data'!$A$2:$S$52,14,FALSE)</f>
        <v>0</v>
      </c>
      <c r="H32" s="1">
        <f t="shared" si="0"/>
        <v>25.197225</v>
      </c>
      <c r="I32" s="1">
        <f t="shared" si="1"/>
        <v>3023.154883281225</v>
      </c>
      <c r="J32" s="1">
        <f t="shared" si="2"/>
        <v>26281.635923683192</v>
      </c>
      <c r="K32" s="17">
        <f t="shared" si="3"/>
        <v>0</v>
      </c>
      <c r="L32" s="1">
        <f t="shared" si="4"/>
        <v>29304.790806964418</v>
      </c>
      <c r="M32" s="1">
        <f t="shared" si="5"/>
        <v>25.197225</v>
      </c>
    </row>
    <row r="33" spans="1:13" x14ac:dyDescent="0.25">
      <c r="A33" t="s">
        <v>157</v>
      </c>
      <c r="B33" t="s">
        <v>158</v>
      </c>
      <c r="C33" t="s">
        <v>229</v>
      </c>
      <c r="D33" s="24">
        <f>VLOOKUP(A33,'State Share Base Cost'!$A$3:$H$52,8,FALSE)</f>
        <v>0.86064178999999996</v>
      </c>
      <c r="E33" s="1">
        <f>VLOOKUP(A33,'ADM Data'!$A$2:$S$52,12,FALSE)</f>
        <v>0</v>
      </c>
      <c r="F33" s="1">
        <f>VLOOKUP(A33,'ADM Data'!$A$2:$S$52,13,FALSE)</f>
        <v>1.39</v>
      </c>
      <c r="G33" s="1">
        <f>VLOOKUP(A33,'ADM Data'!$A$2:$S$52,14,FALSE)</f>
        <v>1</v>
      </c>
      <c r="H33" s="1">
        <f t="shared" si="0"/>
        <v>2.3899999999999997</v>
      </c>
      <c r="I33" s="1">
        <f t="shared" si="1"/>
        <v>0</v>
      </c>
      <c r="J33" s="1">
        <f t="shared" si="2"/>
        <v>1554.8230962696609</v>
      </c>
      <c r="K33" s="17">
        <f t="shared" si="3"/>
        <v>746.90069039746413</v>
      </c>
      <c r="L33" s="1">
        <f t="shared" si="4"/>
        <v>2301.7237866671248</v>
      </c>
      <c r="M33" s="1">
        <f t="shared" si="5"/>
        <v>2.3899999999999997</v>
      </c>
    </row>
    <row r="34" spans="1:13" x14ac:dyDescent="0.25">
      <c r="A34" t="s">
        <v>159</v>
      </c>
      <c r="B34" t="s">
        <v>160</v>
      </c>
      <c r="C34" t="s">
        <v>230</v>
      </c>
      <c r="D34" s="24">
        <f>VLOOKUP(A34,'State Share Base Cost'!$A$3:$H$52,8,FALSE)</f>
        <v>0.78580657099999995</v>
      </c>
      <c r="E34" s="1">
        <f>VLOOKUP(A34,'ADM Data'!$A$2:$S$52,12,FALSE)</f>
        <v>0</v>
      </c>
      <c r="F34" s="1">
        <f>VLOOKUP(A34,'ADM Data'!$A$2:$S$52,13,FALSE)</f>
        <v>2.1598609999999998</v>
      </c>
      <c r="G34" s="1">
        <f>VLOOKUP(A34,'ADM Data'!$A$2:$S$52,14,FALSE)</f>
        <v>0</v>
      </c>
      <c r="H34" s="1">
        <f t="shared" si="0"/>
        <v>2.1598609999999998</v>
      </c>
      <c r="I34" s="1">
        <f t="shared" si="1"/>
        <v>0</v>
      </c>
      <c r="J34" s="1">
        <f t="shared" si="2"/>
        <v>2205.8969058816833</v>
      </c>
      <c r="K34" s="17">
        <f t="shared" si="3"/>
        <v>0</v>
      </c>
      <c r="L34" s="1">
        <f t="shared" si="4"/>
        <v>2205.8969058816833</v>
      </c>
      <c r="M34" s="1">
        <f t="shared" si="5"/>
        <v>2.1598609999999998</v>
      </c>
    </row>
    <row r="35" spans="1:13" x14ac:dyDescent="0.25">
      <c r="A35" t="s">
        <v>161</v>
      </c>
      <c r="B35" t="s">
        <v>162</v>
      </c>
      <c r="C35" t="s">
        <v>231</v>
      </c>
      <c r="D35" s="24">
        <f>VLOOKUP(A35,'State Share Base Cost'!$A$3:$H$52,8,FALSE)</f>
        <v>0.71992725599999996</v>
      </c>
      <c r="E35" s="1">
        <f>VLOOKUP(A35,'ADM Data'!$A$2:$S$52,12,FALSE)</f>
        <v>0.40845700000000001</v>
      </c>
      <c r="F35" s="1">
        <f>VLOOKUP(A35,'ADM Data'!$A$2:$S$52,13,FALSE)</f>
        <v>1.862941</v>
      </c>
      <c r="G35" s="1">
        <f>VLOOKUP(A35,'ADM Data'!$A$2:$S$52,14,FALSE)</f>
        <v>1.1399999999999999</v>
      </c>
      <c r="H35" s="1">
        <f t="shared" si="0"/>
        <v>3.4113980000000002</v>
      </c>
      <c r="I35" s="1">
        <f t="shared" si="1"/>
        <v>509.90909016898655</v>
      </c>
      <c r="J35" s="1">
        <f t="shared" si="2"/>
        <v>1743.1367925074574</v>
      </c>
      <c r="K35" s="17">
        <f t="shared" si="3"/>
        <v>712.25236178489672</v>
      </c>
      <c r="L35" s="1">
        <f t="shared" si="4"/>
        <v>2965.2982444613408</v>
      </c>
      <c r="M35" s="1">
        <f t="shared" si="5"/>
        <v>3.4113980000000002</v>
      </c>
    </row>
    <row r="36" spans="1:13" x14ac:dyDescent="0.25">
      <c r="A36" t="s">
        <v>163</v>
      </c>
      <c r="B36" t="s">
        <v>164</v>
      </c>
      <c r="C36" t="s">
        <v>232</v>
      </c>
      <c r="D36" s="24">
        <f>VLOOKUP(A36,'State Share Base Cost'!$A$3:$H$52,8,FALSE)</f>
        <v>0.90225197899999998</v>
      </c>
      <c r="E36" s="1">
        <f>VLOOKUP(A36,'ADM Data'!$A$2:$S$52,12,FALSE)</f>
        <v>0</v>
      </c>
      <c r="F36" s="1">
        <f>VLOOKUP(A36,'ADM Data'!$A$2:$S$52,13,FALSE)</f>
        <v>0</v>
      </c>
      <c r="G36" s="1">
        <f>VLOOKUP(A36,'ADM Data'!$A$2:$S$52,14,FALSE)</f>
        <v>0</v>
      </c>
      <c r="H36" s="1">
        <f t="shared" si="0"/>
        <v>0</v>
      </c>
      <c r="I36" s="1">
        <f t="shared" si="1"/>
        <v>0</v>
      </c>
      <c r="J36" s="1">
        <f t="shared" si="2"/>
        <v>0</v>
      </c>
      <c r="K36" s="17">
        <f t="shared" si="3"/>
        <v>0</v>
      </c>
      <c r="L36" s="1">
        <f t="shared" si="4"/>
        <v>0</v>
      </c>
      <c r="M36" s="1">
        <f t="shared" si="5"/>
        <v>0</v>
      </c>
    </row>
    <row r="37" spans="1:13" x14ac:dyDescent="0.25">
      <c r="A37" t="s">
        <v>165</v>
      </c>
      <c r="B37" t="s">
        <v>166</v>
      </c>
      <c r="C37" t="s">
        <v>233</v>
      </c>
      <c r="D37" s="24">
        <f>VLOOKUP(A37,'State Share Base Cost'!$A$3:$H$52,8,FALSE)</f>
        <v>0.81176011400000003</v>
      </c>
      <c r="E37" s="1">
        <f>VLOOKUP(A37,'ADM Data'!$A$2:$S$52,12,FALSE)</f>
        <v>0</v>
      </c>
      <c r="F37" s="1">
        <f>VLOOKUP(A37,'ADM Data'!$A$2:$S$52,13,FALSE)</f>
        <v>19</v>
      </c>
      <c r="G37" s="1">
        <f>VLOOKUP(A37,'ADM Data'!$A$2:$S$52,14,FALSE)</f>
        <v>0</v>
      </c>
      <c r="H37" s="1">
        <f t="shared" si="0"/>
        <v>19</v>
      </c>
      <c r="I37" s="1">
        <f t="shared" si="1"/>
        <v>0</v>
      </c>
      <c r="J37" s="1">
        <f t="shared" si="2"/>
        <v>20045.877041419993</v>
      </c>
      <c r="K37" s="17">
        <f t="shared" si="3"/>
        <v>0</v>
      </c>
      <c r="L37" s="1">
        <f t="shared" si="4"/>
        <v>20045.877041419993</v>
      </c>
      <c r="M37" s="1">
        <f t="shared" si="5"/>
        <v>19</v>
      </c>
    </row>
    <row r="38" spans="1:13" x14ac:dyDescent="0.25">
      <c r="A38" t="s">
        <v>167</v>
      </c>
      <c r="B38" t="s">
        <v>168</v>
      </c>
      <c r="C38" t="s">
        <v>234</v>
      </c>
      <c r="D38" s="24">
        <f>VLOOKUP(A38,'State Share Base Cost'!$A$3:$H$52,8,FALSE)</f>
        <v>0.77371397099999994</v>
      </c>
      <c r="E38" s="1">
        <f>VLOOKUP(A38,'ADM Data'!$A$2:$S$52,12,FALSE)</f>
        <v>0</v>
      </c>
      <c r="F38" s="1">
        <f>VLOOKUP(A38,'ADM Data'!$A$2:$S$52,13,FALSE)</f>
        <v>0</v>
      </c>
      <c r="G38" s="1">
        <f>VLOOKUP(A38,'ADM Data'!$A$2:$S$52,14,FALSE)</f>
        <v>1</v>
      </c>
      <c r="H38" s="1">
        <f t="shared" si="0"/>
        <v>1</v>
      </c>
      <c r="I38" s="1">
        <f t="shared" si="1"/>
        <v>0</v>
      </c>
      <c r="J38" s="1">
        <f t="shared" si="2"/>
        <v>0</v>
      </c>
      <c r="K38" s="17">
        <f t="shared" si="3"/>
        <v>671.46111869615765</v>
      </c>
      <c r="L38" s="1">
        <f t="shared" si="4"/>
        <v>671.46111869615765</v>
      </c>
      <c r="M38" s="1">
        <f t="shared" si="5"/>
        <v>1</v>
      </c>
    </row>
    <row r="39" spans="1:13" x14ac:dyDescent="0.25">
      <c r="A39" t="s">
        <v>169</v>
      </c>
      <c r="B39" t="s">
        <v>170</v>
      </c>
      <c r="C39" t="s">
        <v>235</v>
      </c>
      <c r="D39" s="24">
        <f>VLOOKUP(A39,'State Share Base Cost'!$A$3:$H$52,8,FALSE)</f>
        <v>0.79116920099999999</v>
      </c>
      <c r="E39" s="1">
        <f>VLOOKUP(A39,'ADM Data'!$A$2:$S$52,12,FALSE)</f>
        <v>0</v>
      </c>
      <c r="F39" s="1">
        <f>VLOOKUP(A39,'ADM Data'!$A$2:$S$52,13,FALSE)</f>
        <v>0</v>
      </c>
      <c r="G39" s="1">
        <f>VLOOKUP(A39,'ADM Data'!$A$2:$S$52,14,FALSE)</f>
        <v>0</v>
      </c>
      <c r="H39" s="1">
        <f t="shared" si="0"/>
        <v>0</v>
      </c>
      <c r="I39" s="1">
        <f t="shared" si="1"/>
        <v>0</v>
      </c>
      <c r="J39" s="1">
        <f t="shared" si="2"/>
        <v>0</v>
      </c>
      <c r="K39" s="17">
        <f t="shared" si="3"/>
        <v>0</v>
      </c>
      <c r="L39" s="1">
        <f t="shared" si="4"/>
        <v>0</v>
      </c>
      <c r="M39" s="1">
        <f t="shared" si="5"/>
        <v>0</v>
      </c>
    </row>
    <row r="40" spans="1:13" x14ac:dyDescent="0.25">
      <c r="A40" t="s">
        <v>171</v>
      </c>
      <c r="B40" t="s">
        <v>172</v>
      </c>
      <c r="C40" t="s">
        <v>236</v>
      </c>
      <c r="D40" s="24">
        <f>VLOOKUP(A40,'State Share Base Cost'!$A$3:$H$52,8,FALSE)</f>
        <v>0.75028848400000003</v>
      </c>
      <c r="E40" s="1">
        <f>VLOOKUP(A40,'ADM Data'!$A$2:$S$52,12,FALSE)</f>
        <v>0</v>
      </c>
      <c r="F40" s="1">
        <f>VLOOKUP(A40,'ADM Data'!$A$2:$S$52,13,FALSE)</f>
        <v>18.217877000000001</v>
      </c>
      <c r="G40" s="1">
        <f>VLOOKUP(A40,'ADM Data'!$A$2:$S$52,14,FALSE)</f>
        <v>0</v>
      </c>
      <c r="H40" s="1">
        <f t="shared" si="0"/>
        <v>18.217877000000001</v>
      </c>
      <c r="I40" s="1">
        <f t="shared" si="1"/>
        <v>0</v>
      </c>
      <c r="J40" s="1">
        <f t="shared" si="2"/>
        <v>17765.187641296514</v>
      </c>
      <c r="K40" s="17">
        <f t="shared" si="3"/>
        <v>0</v>
      </c>
      <c r="L40" s="1">
        <f t="shared" si="4"/>
        <v>17765.187641296514</v>
      </c>
      <c r="M40" s="1">
        <f t="shared" si="5"/>
        <v>18.217877000000001</v>
      </c>
    </row>
    <row r="41" spans="1:13" x14ac:dyDescent="0.25">
      <c r="A41" t="s">
        <v>173</v>
      </c>
      <c r="B41" t="s">
        <v>174</v>
      </c>
      <c r="C41" t="s">
        <v>237</v>
      </c>
      <c r="D41" s="24">
        <f>VLOOKUP(A41,'State Share Base Cost'!$A$3:$H$52,8,FALSE)</f>
        <v>0.81681689599999996</v>
      </c>
      <c r="E41" s="1">
        <f>VLOOKUP(A41,'ADM Data'!$A$2:$S$52,12,FALSE)</f>
        <v>0</v>
      </c>
      <c r="F41" s="1">
        <f>VLOOKUP(A41,'ADM Data'!$A$2:$S$52,13,FALSE)</f>
        <v>0</v>
      </c>
      <c r="G41" s="1">
        <f>VLOOKUP(A41,'ADM Data'!$A$2:$S$52,14,FALSE)</f>
        <v>0</v>
      </c>
      <c r="H41" s="1">
        <f t="shared" si="0"/>
        <v>0</v>
      </c>
      <c r="I41" s="1">
        <f t="shared" si="1"/>
        <v>0</v>
      </c>
      <c r="J41" s="1">
        <f t="shared" si="2"/>
        <v>0</v>
      </c>
      <c r="K41" s="17">
        <f t="shared" si="3"/>
        <v>0</v>
      </c>
      <c r="L41" s="1">
        <f t="shared" si="4"/>
        <v>0</v>
      </c>
      <c r="M41" s="1">
        <f t="shared" si="5"/>
        <v>0</v>
      </c>
    </row>
    <row r="42" spans="1:13" x14ac:dyDescent="0.25">
      <c r="A42" t="s">
        <v>175</v>
      </c>
      <c r="B42" t="s">
        <v>176</v>
      </c>
      <c r="C42" t="s">
        <v>238</v>
      </c>
      <c r="D42" s="24">
        <f>VLOOKUP(A42,'State Share Base Cost'!$A$3:$H$52,8,FALSE)</f>
        <v>0.82589885299999999</v>
      </c>
      <c r="E42" s="1">
        <f>VLOOKUP(A42,'ADM Data'!$A$2:$S$52,12,FALSE)</f>
        <v>0</v>
      </c>
      <c r="F42" s="1">
        <f>VLOOKUP(A42,'ADM Data'!$A$2:$S$52,13,FALSE)</f>
        <v>0</v>
      </c>
      <c r="G42" s="1">
        <f>VLOOKUP(A42,'ADM Data'!$A$2:$S$52,14,FALSE)</f>
        <v>0</v>
      </c>
      <c r="H42" s="1">
        <f t="shared" si="0"/>
        <v>0</v>
      </c>
      <c r="I42" s="1">
        <f t="shared" si="1"/>
        <v>0</v>
      </c>
      <c r="J42" s="1">
        <f t="shared" si="2"/>
        <v>0</v>
      </c>
      <c r="K42" s="17">
        <f t="shared" si="3"/>
        <v>0</v>
      </c>
      <c r="L42" s="1">
        <f t="shared" si="4"/>
        <v>0</v>
      </c>
      <c r="M42" s="1">
        <f t="shared" si="5"/>
        <v>0</v>
      </c>
    </row>
    <row r="43" spans="1:13" x14ac:dyDescent="0.25">
      <c r="A43" t="s">
        <v>177</v>
      </c>
      <c r="B43" t="s">
        <v>178</v>
      </c>
      <c r="C43" t="s">
        <v>239</v>
      </c>
      <c r="D43" s="24">
        <f>VLOOKUP(A43,'State Share Base Cost'!$A$3:$H$52,8,FALSE)</f>
        <v>0.75098667799999996</v>
      </c>
      <c r="E43" s="1">
        <f>VLOOKUP(A43,'ADM Data'!$A$2:$S$52,12,FALSE)</f>
        <v>6</v>
      </c>
      <c r="F43" s="1">
        <f>VLOOKUP(A43,'ADM Data'!$A$2:$S$52,13,FALSE)</f>
        <v>9</v>
      </c>
      <c r="G43" s="1">
        <f>VLOOKUP(A43,'ADM Data'!$A$2:$S$52,14,FALSE)</f>
        <v>0</v>
      </c>
      <c r="H43" s="1">
        <f t="shared" si="0"/>
        <v>15</v>
      </c>
      <c r="I43" s="1">
        <f t="shared" si="1"/>
        <v>7813.4219515988434</v>
      </c>
      <c r="J43" s="1">
        <f t="shared" si="2"/>
        <v>8784.5292901649536</v>
      </c>
      <c r="K43" s="17">
        <f t="shared" si="3"/>
        <v>0</v>
      </c>
      <c r="L43" s="1">
        <f t="shared" si="4"/>
        <v>16597.951241763796</v>
      </c>
      <c r="M43" s="1">
        <f t="shared" si="5"/>
        <v>15</v>
      </c>
    </row>
    <row r="44" spans="1:13" x14ac:dyDescent="0.25">
      <c r="A44" t="s">
        <v>179</v>
      </c>
      <c r="B44" t="s">
        <v>180</v>
      </c>
      <c r="C44" t="s">
        <v>240</v>
      </c>
      <c r="D44" s="24">
        <f>VLOOKUP(A44,'State Share Base Cost'!$A$3:$H$52,8,FALSE)</f>
        <v>0.86114894399999997</v>
      </c>
      <c r="E44" s="1">
        <f>VLOOKUP(A44,'ADM Data'!$A$2:$S$52,12,FALSE)</f>
        <v>0</v>
      </c>
      <c r="F44" s="1">
        <f>VLOOKUP(A44,'ADM Data'!$A$2:$S$52,13,FALSE)</f>
        <v>0</v>
      </c>
      <c r="G44" s="1">
        <f>VLOOKUP(A44,'ADM Data'!$A$2:$S$52,14,FALSE)</f>
        <v>0</v>
      </c>
      <c r="H44" s="1">
        <f t="shared" si="0"/>
        <v>0</v>
      </c>
      <c r="I44" s="1">
        <f t="shared" si="1"/>
        <v>0</v>
      </c>
      <c r="J44" s="1">
        <f t="shared" si="2"/>
        <v>0</v>
      </c>
      <c r="K44" s="17">
        <f t="shared" si="3"/>
        <v>0</v>
      </c>
      <c r="L44" s="1">
        <f t="shared" si="4"/>
        <v>0</v>
      </c>
      <c r="M44" s="1">
        <f t="shared" si="5"/>
        <v>0</v>
      </c>
    </row>
    <row r="45" spans="1:13" x14ac:dyDescent="0.25">
      <c r="A45" t="s">
        <v>181</v>
      </c>
      <c r="B45" t="s">
        <v>182</v>
      </c>
      <c r="C45" t="s">
        <v>241</v>
      </c>
      <c r="D45" s="24">
        <f>VLOOKUP(A45,'State Share Base Cost'!$A$3:$H$52,8,FALSE)</f>
        <v>0.801272965</v>
      </c>
      <c r="E45" s="1">
        <f>VLOOKUP(A45,'ADM Data'!$A$2:$S$52,12,FALSE)</f>
        <v>0</v>
      </c>
      <c r="F45" s="1">
        <f>VLOOKUP(A45,'ADM Data'!$A$2:$S$52,13,FALSE)</f>
        <v>0</v>
      </c>
      <c r="G45" s="1">
        <f>VLOOKUP(A45,'ADM Data'!$A$2:$S$52,14,FALSE)</f>
        <v>0</v>
      </c>
      <c r="H45" s="1">
        <f t="shared" si="0"/>
        <v>0</v>
      </c>
      <c r="I45" s="1">
        <f t="shared" si="1"/>
        <v>0</v>
      </c>
      <c r="J45" s="1">
        <f t="shared" si="2"/>
        <v>0</v>
      </c>
      <c r="K45" s="17">
        <f t="shared" si="3"/>
        <v>0</v>
      </c>
      <c r="L45" s="1">
        <f t="shared" si="4"/>
        <v>0</v>
      </c>
      <c r="M45" s="1">
        <f t="shared" si="5"/>
        <v>0</v>
      </c>
    </row>
    <row r="46" spans="1:13" x14ac:dyDescent="0.25">
      <c r="A46" t="s">
        <v>183</v>
      </c>
      <c r="B46" t="s">
        <v>184</v>
      </c>
      <c r="C46" t="s">
        <v>242</v>
      </c>
      <c r="D46" s="24">
        <f>VLOOKUP(A46,'State Share Base Cost'!$A$3:$H$52,8,FALSE)</f>
        <v>0.84200482499999996</v>
      </c>
      <c r="E46" s="1">
        <f>VLOOKUP(A46,'ADM Data'!$A$2:$S$52,12,FALSE)</f>
        <v>0</v>
      </c>
      <c r="F46" s="1">
        <f>VLOOKUP(A46,'ADM Data'!$A$2:$S$52,13,FALSE)</f>
        <v>0</v>
      </c>
      <c r="G46" s="1">
        <f>VLOOKUP(A46,'ADM Data'!$A$2:$S$52,14,FALSE)</f>
        <v>0</v>
      </c>
      <c r="H46" s="1">
        <f t="shared" si="0"/>
        <v>0</v>
      </c>
      <c r="I46" s="1">
        <f t="shared" si="1"/>
        <v>0</v>
      </c>
      <c r="J46" s="1">
        <f t="shared" si="2"/>
        <v>0</v>
      </c>
      <c r="K46" s="17">
        <f t="shared" si="3"/>
        <v>0</v>
      </c>
      <c r="L46" s="1">
        <f t="shared" si="4"/>
        <v>0</v>
      </c>
      <c r="M46" s="1">
        <f t="shared" si="5"/>
        <v>0</v>
      </c>
    </row>
    <row r="47" spans="1:13" x14ac:dyDescent="0.25">
      <c r="A47" t="s">
        <v>185</v>
      </c>
      <c r="B47" t="s">
        <v>186</v>
      </c>
      <c r="C47" t="s">
        <v>243</v>
      </c>
      <c r="D47" s="24">
        <f>VLOOKUP(A47,'State Share Base Cost'!$A$3:$H$52,8,FALSE)</f>
        <v>0.69941285600000003</v>
      </c>
      <c r="E47" s="1">
        <f>VLOOKUP(A47,'ADM Data'!$A$2:$S$52,12,FALSE)</f>
        <v>0</v>
      </c>
      <c r="F47" s="1">
        <f>VLOOKUP(A47,'ADM Data'!$A$2:$S$52,13,FALSE)</f>
        <v>0</v>
      </c>
      <c r="G47" s="1">
        <f>VLOOKUP(A47,'ADM Data'!$A$2:$S$52,14,FALSE)</f>
        <v>2.2585389999999999</v>
      </c>
      <c r="H47" s="1">
        <f t="shared" si="0"/>
        <v>2.2585389999999999</v>
      </c>
      <c r="I47" s="1">
        <f t="shared" si="1"/>
        <v>0</v>
      </c>
      <c r="J47" s="1">
        <f t="shared" si="2"/>
        <v>0</v>
      </c>
      <c r="K47" s="17">
        <f t="shared" si="3"/>
        <v>1370.8869297548977</v>
      </c>
      <c r="L47" s="1">
        <f t="shared" si="4"/>
        <v>1370.8869297548977</v>
      </c>
      <c r="M47" s="1">
        <f t="shared" si="5"/>
        <v>2.2585389999999999</v>
      </c>
    </row>
    <row r="48" spans="1:13" x14ac:dyDescent="0.25">
      <c r="A48" t="s">
        <v>187</v>
      </c>
      <c r="B48" t="s">
        <v>188</v>
      </c>
      <c r="C48" t="s">
        <v>244</v>
      </c>
      <c r="D48" s="24">
        <f>VLOOKUP(A48,'State Share Base Cost'!$A$3:$H$52,8,FALSE)</f>
        <v>0.88275909600000002</v>
      </c>
      <c r="E48" s="1">
        <f>VLOOKUP(A48,'ADM Data'!$A$2:$S$52,12,FALSE)</f>
        <v>0.93891000000000002</v>
      </c>
      <c r="F48" s="1">
        <f>VLOOKUP(A48,'ADM Data'!$A$2:$S$52,13,FALSE)</f>
        <v>3.189028</v>
      </c>
      <c r="G48" s="1">
        <f>VLOOKUP(A48,'ADM Data'!$A$2:$S$52,14,FALSE)</f>
        <v>0.53</v>
      </c>
      <c r="H48" s="1">
        <f t="shared" si="0"/>
        <v>4.6579380000000006</v>
      </c>
      <c r="I48" s="1">
        <f t="shared" si="1"/>
        <v>1437.2223453753495</v>
      </c>
      <c r="J48" s="1">
        <f t="shared" si="2"/>
        <v>3658.8473140031456</v>
      </c>
      <c r="K48" s="17">
        <f t="shared" si="3"/>
        <v>406.03035378543717</v>
      </c>
      <c r="L48" s="1">
        <f t="shared" si="4"/>
        <v>5502.1000131639321</v>
      </c>
      <c r="M48" s="1">
        <f t="shared" si="5"/>
        <v>4.6579380000000006</v>
      </c>
    </row>
    <row r="49" spans="1:13" x14ac:dyDescent="0.25">
      <c r="A49" t="s">
        <v>189</v>
      </c>
      <c r="B49" t="s">
        <v>190</v>
      </c>
      <c r="C49" t="s">
        <v>245</v>
      </c>
      <c r="D49" s="24">
        <f>VLOOKUP(A49,'State Share Base Cost'!$A$3:$H$52,8,FALSE)</f>
        <v>0.90410549699999998</v>
      </c>
      <c r="E49" s="1">
        <f>VLOOKUP(A49,'ADM Data'!$A$2:$S$52,12,FALSE)</f>
        <v>0</v>
      </c>
      <c r="F49" s="1">
        <f>VLOOKUP(A49,'ADM Data'!$A$2:$S$52,13,FALSE)</f>
        <v>0</v>
      </c>
      <c r="G49" s="1">
        <f>VLOOKUP(A49,'ADM Data'!$A$2:$S$52,14,FALSE)</f>
        <v>0</v>
      </c>
      <c r="H49" s="1">
        <f t="shared" si="0"/>
        <v>0</v>
      </c>
      <c r="I49" s="1">
        <f t="shared" si="1"/>
        <v>0</v>
      </c>
      <c r="J49" s="1">
        <f t="shared" si="2"/>
        <v>0</v>
      </c>
      <c r="K49" s="17">
        <f t="shared" si="3"/>
        <v>0</v>
      </c>
      <c r="L49" s="1">
        <f t="shared" si="4"/>
        <v>0</v>
      </c>
      <c r="M49" s="1">
        <f t="shared" si="5"/>
        <v>0</v>
      </c>
    </row>
    <row r="50" spans="1:13" x14ac:dyDescent="0.25">
      <c r="A50" t="s">
        <v>191</v>
      </c>
      <c r="B50" t="s">
        <v>192</v>
      </c>
      <c r="C50" t="s">
        <v>246</v>
      </c>
      <c r="D50" s="24">
        <f>VLOOKUP(A50,'State Share Base Cost'!$A$3:$H$52,8,FALSE)</f>
        <v>0.72042290600000003</v>
      </c>
      <c r="E50" s="1">
        <f>VLOOKUP(A50,'ADM Data'!$A$2:$S$52,12,FALSE)</f>
        <v>0</v>
      </c>
      <c r="F50" s="1">
        <f>VLOOKUP(A50,'ADM Data'!$A$2:$S$52,13,FALSE)</f>
        <v>0</v>
      </c>
      <c r="G50" s="1">
        <f>VLOOKUP(A50,'ADM Data'!$A$2:$S$52,14,FALSE)</f>
        <v>0.5</v>
      </c>
      <c r="H50" s="1">
        <f t="shared" si="0"/>
        <v>0.5</v>
      </c>
      <c r="I50" s="1">
        <f t="shared" si="1"/>
        <v>0</v>
      </c>
      <c r="J50" s="1">
        <f t="shared" si="2"/>
        <v>0</v>
      </c>
      <c r="K50" s="17">
        <f t="shared" si="3"/>
        <v>312.60645957567749</v>
      </c>
      <c r="L50" s="1">
        <f t="shared" si="4"/>
        <v>312.60645957567749</v>
      </c>
      <c r="M50" s="1">
        <f t="shared" si="5"/>
        <v>0.5</v>
      </c>
    </row>
    <row r="51" spans="1:13" x14ac:dyDescent="0.25">
      <c r="A51" t="s">
        <v>193</v>
      </c>
      <c r="B51" t="s">
        <v>194</v>
      </c>
      <c r="C51" t="s">
        <v>247</v>
      </c>
      <c r="D51" s="24">
        <f>VLOOKUP(A51,'State Share Base Cost'!$A$3:$H$52,8,FALSE)</f>
        <v>0.41486646700000002</v>
      </c>
      <c r="E51" s="1">
        <f>VLOOKUP(A51,'ADM Data'!$A$2:$S$52,12,FALSE)</f>
        <v>0.5</v>
      </c>
      <c r="F51" s="1">
        <f>VLOOKUP(A51,'ADM Data'!$A$2:$S$52,13,FALSE)</f>
        <v>44.235281999999998</v>
      </c>
      <c r="G51" s="1">
        <f>VLOOKUP(A51,'ADM Data'!$A$2:$S$52,14,FALSE)</f>
        <v>2.1184270000000001</v>
      </c>
      <c r="H51" s="1">
        <f t="shared" si="0"/>
        <v>46.853708999999995</v>
      </c>
      <c r="I51" s="1">
        <f t="shared" si="1"/>
        <v>359.69643394926476</v>
      </c>
      <c r="J51" s="1">
        <f t="shared" si="2"/>
        <v>23851.785000808875</v>
      </c>
      <c r="K51" s="17">
        <f t="shared" si="3"/>
        <v>762.71496318286756</v>
      </c>
      <c r="L51" s="1">
        <f t="shared" si="4"/>
        <v>24974.19639794101</v>
      </c>
      <c r="M51" s="1">
        <f t="shared" si="5"/>
        <v>46.853708999999995</v>
      </c>
    </row>
    <row r="52" spans="1:13" x14ac:dyDescent="0.25">
      <c r="A52" t="s">
        <v>195</v>
      </c>
      <c r="B52" t="s">
        <v>196</v>
      </c>
      <c r="C52" t="s">
        <v>248</v>
      </c>
      <c r="D52" s="24">
        <f>VLOOKUP(A52,'State Share Base Cost'!$A$3:$H$52,8,FALSE)</f>
        <v>0.87603140999999995</v>
      </c>
      <c r="E52" s="1">
        <f>VLOOKUP(A52,'ADM Data'!$A$2:$S$52,12,FALSE)</f>
        <v>0</v>
      </c>
      <c r="F52" s="1">
        <f>VLOOKUP(A52,'ADM Data'!$A$2:$S$52,13,FALSE)</f>
        <v>0</v>
      </c>
      <c r="G52" s="1">
        <f>VLOOKUP(A52,'ADM Data'!$A$2:$S$52,14,FALSE)</f>
        <v>0</v>
      </c>
      <c r="H52" s="1">
        <f t="shared" si="0"/>
        <v>0</v>
      </c>
      <c r="I52" s="1">
        <f t="shared" si="1"/>
        <v>0</v>
      </c>
      <c r="J52" s="1">
        <f t="shared" si="2"/>
        <v>0</v>
      </c>
      <c r="K52" s="17">
        <f t="shared" si="3"/>
        <v>0</v>
      </c>
      <c r="L52" s="1">
        <f t="shared" si="4"/>
        <v>0</v>
      </c>
      <c r="M52" s="1">
        <f t="shared" si="5"/>
        <v>0</v>
      </c>
    </row>
    <row r="53" spans="1:13" x14ac:dyDescent="0.25">
      <c r="A53" t="s">
        <v>197</v>
      </c>
      <c r="B53" t="s">
        <v>198</v>
      </c>
      <c r="C53" t="s">
        <v>249</v>
      </c>
      <c r="D53" s="24">
        <f>VLOOKUP(A53,'State Share Base Cost'!$A$3:$H$52,8,FALSE)</f>
        <v>0.79648726800000003</v>
      </c>
      <c r="E53" s="1">
        <f>VLOOKUP(A53,'ADM Data'!$A$2:$S$52,12,FALSE)</f>
        <v>0</v>
      </c>
      <c r="F53" s="1">
        <f>VLOOKUP(A53,'ADM Data'!$A$2:$S$52,13,FALSE)</f>
        <v>0</v>
      </c>
      <c r="G53" s="1">
        <f>VLOOKUP(A53,'ADM Data'!$A$2:$S$52,14,FALSE)</f>
        <v>0</v>
      </c>
      <c r="H53" s="1">
        <f t="shared" si="0"/>
        <v>0</v>
      </c>
      <c r="I53" s="1">
        <f t="shared" si="1"/>
        <v>0</v>
      </c>
      <c r="J53" s="1">
        <f t="shared" si="2"/>
        <v>0</v>
      </c>
      <c r="K53" s="17">
        <f t="shared" si="3"/>
        <v>0</v>
      </c>
      <c r="L53" s="1">
        <f t="shared" si="4"/>
        <v>0</v>
      </c>
      <c r="M53" s="1">
        <f t="shared" si="5"/>
        <v>0</v>
      </c>
    </row>
    <row r="54" spans="1:13" x14ac:dyDescent="0.25">
      <c r="A54" s="135" t="s">
        <v>914</v>
      </c>
      <c r="B54" t="s">
        <v>250</v>
      </c>
      <c r="D54" s="24"/>
      <c r="E54" s="1">
        <f>SUM(E5:E53)</f>
        <v>18.977434000000002</v>
      </c>
      <c r="F54" s="1">
        <f t="shared" ref="F54:M54" si="6">SUM(F5:F53)</f>
        <v>401.04186799999985</v>
      </c>
      <c r="G54" s="1">
        <f t="shared" si="6"/>
        <v>40.440718000000004</v>
      </c>
      <c r="H54" s="1">
        <f t="shared" si="6"/>
        <v>460.46001999999982</v>
      </c>
      <c r="I54" s="1">
        <f t="shared" si="6"/>
        <v>25894.511407801896</v>
      </c>
      <c r="J54" s="1">
        <f t="shared" si="6"/>
        <v>370821.81711972249</v>
      </c>
      <c r="K54" s="1">
        <f t="shared" si="6"/>
        <v>24703.071899452541</v>
      </c>
      <c r="L54" s="1">
        <f t="shared" si="6"/>
        <v>421419.40042697708</v>
      </c>
      <c r="M54" s="1">
        <f t="shared" si="6"/>
        <v>460.46001999999982</v>
      </c>
    </row>
  </sheetData>
  <phoneticPr fontId="18"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BE5D2-F418-4E27-9E29-D767AE095677}">
  <dimension ref="A2:H52"/>
  <sheetViews>
    <sheetView workbookViewId="0">
      <pane xSplit="3" ySplit="2" topLeftCell="D48" activePane="bottomRight" state="frozen"/>
      <selection pane="topRight" activeCell="D1" sqref="D1"/>
      <selection pane="bottomLeft" activeCell="A3" sqref="A3"/>
      <selection pane="bottomRight" activeCell="C60" sqref="C60"/>
    </sheetView>
  </sheetViews>
  <sheetFormatPr defaultRowHeight="15" x14ac:dyDescent="0.25"/>
  <cols>
    <col min="1" max="1" width="7.5703125" bestFit="1" customWidth="1"/>
    <col min="2" max="2" width="46" bestFit="1" customWidth="1"/>
    <col min="3" max="3" width="13.140625" bestFit="1" customWidth="1"/>
    <col min="4" max="4" width="17.5703125" bestFit="1" customWidth="1"/>
    <col min="5" max="7" width="13.85546875" bestFit="1" customWidth="1"/>
    <col min="8" max="8" width="11.5703125" bestFit="1" customWidth="1"/>
  </cols>
  <sheetData>
    <row r="2" spans="1:8" s="4" customFormat="1" ht="45" x14ac:dyDescent="0.25">
      <c r="A2" s="4" t="s">
        <v>93</v>
      </c>
      <c r="B2" s="3" t="s">
        <v>940</v>
      </c>
      <c r="C2" s="4" t="s">
        <v>95</v>
      </c>
      <c r="D2" s="3" t="s">
        <v>380</v>
      </c>
      <c r="E2" s="3" t="s">
        <v>381</v>
      </c>
      <c r="F2" s="3" t="s">
        <v>382</v>
      </c>
      <c r="G2" s="3" t="s">
        <v>321</v>
      </c>
      <c r="H2" s="3" t="s">
        <v>383</v>
      </c>
    </row>
    <row r="3" spans="1:8" x14ac:dyDescent="0.25">
      <c r="A3" t="s">
        <v>101</v>
      </c>
      <c r="B3" t="s">
        <v>102</v>
      </c>
      <c r="C3" t="s">
        <v>202</v>
      </c>
      <c r="D3" s="1">
        <f>VLOOKUP(A3,Valuation_data!A:H,8,FALSE)</f>
        <v>2873522940</v>
      </c>
      <c r="E3" s="1">
        <f>VLOOKUP(A3,'Base Cost_Calc'!$A$7:$AX$56,50,FALSE)</f>
        <v>9963749.4160407223</v>
      </c>
      <c r="F3" s="1">
        <f>D3*0.0005</f>
        <v>1436761.47</v>
      </c>
      <c r="G3" s="1">
        <f>MAX((E3-F3),(E3*0.05))</f>
        <v>8526987.9460407216</v>
      </c>
      <c r="H3" s="15">
        <f>ROUND(MAX((G3/E3),0.1),9)</f>
        <v>0.85580112399999997</v>
      </c>
    </row>
    <row r="4" spans="1:8" x14ac:dyDescent="0.25">
      <c r="A4" t="s">
        <v>103</v>
      </c>
      <c r="B4" t="s">
        <v>104</v>
      </c>
      <c r="C4" t="s">
        <v>203</v>
      </c>
      <c r="D4" s="1">
        <f>VLOOKUP(A4,Valuation_data!A:H,8,FALSE)</f>
        <v>1116931050</v>
      </c>
      <c r="E4" s="1">
        <f>VLOOKUP(A4,'Base Cost_Calc'!$A$7:$AX$56,50,FALSE)</f>
        <v>6171892.9289291585</v>
      </c>
      <c r="F4" s="1">
        <f t="shared" ref="F4:F51" si="0">D4*0.0005</f>
        <v>558465.52500000002</v>
      </c>
      <c r="G4" s="1">
        <f t="shared" ref="G4:G51" si="1">MAX((E4-F4),(E4*0.05))</f>
        <v>5613427.4039291581</v>
      </c>
      <c r="H4" s="15">
        <f t="shared" ref="H4:H51" si="2">ROUND(MAX((G4/E4),0.1),9)</f>
        <v>0.90951470899999998</v>
      </c>
    </row>
    <row r="5" spans="1:8" x14ac:dyDescent="0.25">
      <c r="A5" t="s">
        <v>105</v>
      </c>
      <c r="B5" t="s">
        <v>106</v>
      </c>
      <c r="C5" t="s">
        <v>204</v>
      </c>
      <c r="D5" s="1">
        <f>VLOOKUP(A5,Valuation_data!A:H,8,FALSE)</f>
        <v>2244597256.6666665</v>
      </c>
      <c r="E5" s="1">
        <f>VLOOKUP(A5,'Base Cost_Calc'!$A$7:$AX$56,50,FALSE)</f>
        <v>7102546.9711365849</v>
      </c>
      <c r="F5" s="1">
        <f t="shared" si="0"/>
        <v>1122298.6283333332</v>
      </c>
      <c r="G5" s="1">
        <f t="shared" si="1"/>
        <v>5980248.3428032519</v>
      </c>
      <c r="H5" s="15">
        <f t="shared" si="2"/>
        <v>0.84198645500000002</v>
      </c>
    </row>
    <row r="6" spans="1:8" x14ac:dyDescent="0.25">
      <c r="A6" t="s">
        <v>107</v>
      </c>
      <c r="B6" t="s">
        <v>108</v>
      </c>
      <c r="C6" t="s">
        <v>205</v>
      </c>
      <c r="D6" s="1">
        <f>VLOOKUP(A6,Valuation_data!A:H,8,FALSE)</f>
        <v>2951497596.6666665</v>
      </c>
      <c r="E6" s="1">
        <f>VLOOKUP(A6,'Base Cost_Calc'!$A$7:$AX$56,50,FALSE)</f>
        <v>5503471.8960915357</v>
      </c>
      <c r="F6" s="1">
        <f t="shared" si="0"/>
        <v>1475748.7983333333</v>
      </c>
      <c r="G6" s="1">
        <f t="shared" si="1"/>
        <v>4027723.0977582023</v>
      </c>
      <c r="H6" s="15">
        <f t="shared" si="2"/>
        <v>0.73185130700000001</v>
      </c>
    </row>
    <row r="7" spans="1:8" x14ac:dyDescent="0.25">
      <c r="A7" t="s">
        <v>109</v>
      </c>
      <c r="B7" t="s">
        <v>110</v>
      </c>
      <c r="C7" t="s">
        <v>206</v>
      </c>
      <c r="D7" s="1">
        <f>VLOOKUP(A7,Valuation_data!A:H,8,FALSE)</f>
        <v>12927350150</v>
      </c>
      <c r="E7" s="1">
        <f>VLOOKUP(A7,'Base Cost_Calc'!$A$7:$AX$56,50,FALSE)</f>
        <v>36162057.334257521</v>
      </c>
      <c r="F7" s="1">
        <f t="shared" si="0"/>
        <v>6463675.0750000002</v>
      </c>
      <c r="G7" s="1">
        <f t="shared" si="1"/>
        <v>29698382.259257521</v>
      </c>
      <c r="H7" s="15">
        <f t="shared" si="2"/>
        <v>0.82125809299999997</v>
      </c>
    </row>
    <row r="8" spans="1:8" x14ac:dyDescent="0.25">
      <c r="A8" t="s">
        <v>111</v>
      </c>
      <c r="B8" t="s">
        <v>112</v>
      </c>
      <c r="C8" t="s">
        <v>207</v>
      </c>
      <c r="D8" s="1">
        <f>VLOOKUP(A8,Valuation_data!A:H,8,FALSE)</f>
        <v>1759329106.6666667</v>
      </c>
      <c r="E8" s="1">
        <f>VLOOKUP(A8,'Base Cost_Calc'!$A$7:$AX$56,50,FALSE)</f>
        <v>3917416.6349177626</v>
      </c>
      <c r="F8" s="1">
        <f t="shared" si="0"/>
        <v>879664.55333333334</v>
      </c>
      <c r="G8" s="1">
        <f t="shared" si="1"/>
        <v>3037752.0815844294</v>
      </c>
      <c r="H8" s="15">
        <f t="shared" si="2"/>
        <v>0.77544779200000002</v>
      </c>
    </row>
    <row r="9" spans="1:8" x14ac:dyDescent="0.25">
      <c r="A9" t="s">
        <v>113</v>
      </c>
      <c r="B9" t="s">
        <v>114</v>
      </c>
      <c r="C9" t="s">
        <v>208</v>
      </c>
      <c r="D9" s="1">
        <f>VLOOKUP(A9,Valuation_data!A:H,8,FALSE)</f>
        <v>7707306210</v>
      </c>
      <c r="E9" s="1">
        <f>VLOOKUP(A9,'Base Cost_Calc'!$A$7:$AX$56,50,FALSE)</f>
        <v>4906162.0251880288</v>
      </c>
      <c r="F9" s="1">
        <f t="shared" si="0"/>
        <v>3853653.105</v>
      </c>
      <c r="G9" s="1">
        <f t="shared" si="1"/>
        <v>1052508.9201880288</v>
      </c>
      <c r="H9" s="15">
        <f t="shared" si="2"/>
        <v>0.21452795799999999</v>
      </c>
    </row>
    <row r="10" spans="1:8" x14ac:dyDescent="0.25">
      <c r="A10" t="s">
        <v>115</v>
      </c>
      <c r="B10" t="s">
        <v>116</v>
      </c>
      <c r="C10" t="s">
        <v>208</v>
      </c>
      <c r="D10" s="1">
        <f>VLOOKUP(A10,Valuation_data!A:H,8,FALSE)</f>
        <v>6082157863.333333</v>
      </c>
      <c r="E10" s="1">
        <f>VLOOKUP(A10,'Base Cost_Calc'!$A$7:$AX$56,50,FALSE)</f>
        <v>6816424.2433650177</v>
      </c>
      <c r="F10" s="1">
        <f t="shared" si="0"/>
        <v>3041078.9316666666</v>
      </c>
      <c r="G10" s="1">
        <f t="shared" si="1"/>
        <v>3775345.3116983511</v>
      </c>
      <c r="H10" s="15">
        <f t="shared" si="2"/>
        <v>0.55386008499999995</v>
      </c>
    </row>
    <row r="11" spans="1:8" x14ac:dyDescent="0.25">
      <c r="A11" t="s">
        <v>117</v>
      </c>
      <c r="B11" t="s">
        <v>118</v>
      </c>
      <c r="C11" t="s">
        <v>209</v>
      </c>
      <c r="D11" s="1">
        <f>VLOOKUP(A11,Valuation_data!A:H,8,FALSE)</f>
        <v>4367384090</v>
      </c>
      <c r="E11" s="1">
        <f>VLOOKUP(A11,'Base Cost_Calc'!$A$7:$AX$56,50,FALSE)</f>
        <v>9781536.8949981667</v>
      </c>
      <c r="F11" s="1">
        <f t="shared" si="0"/>
        <v>2183692.0449999999</v>
      </c>
      <c r="G11" s="1">
        <f t="shared" si="1"/>
        <v>7597844.8499981668</v>
      </c>
      <c r="H11" s="15">
        <f t="shared" si="2"/>
        <v>0.77675368700000003</v>
      </c>
    </row>
    <row r="12" spans="1:8" x14ac:dyDescent="0.25">
      <c r="A12" t="s">
        <v>119</v>
      </c>
      <c r="B12" t="s">
        <v>120</v>
      </c>
      <c r="C12" t="s">
        <v>210</v>
      </c>
      <c r="D12" s="1">
        <f>VLOOKUP(A12,Valuation_data!A:H,8,FALSE)</f>
        <v>9108656230</v>
      </c>
      <c r="E12" s="1">
        <f>VLOOKUP(A12,'Base Cost_Calc'!$A$7:$AX$56,50,FALSE)</f>
        <v>8306899.026297844</v>
      </c>
      <c r="F12" s="1">
        <f t="shared" si="0"/>
        <v>4554328.1150000002</v>
      </c>
      <c r="G12" s="1">
        <f t="shared" si="1"/>
        <v>3752570.9112978438</v>
      </c>
      <c r="H12" s="15">
        <f t="shared" si="2"/>
        <v>0.45174148600000003</v>
      </c>
    </row>
    <row r="13" spans="1:8" x14ac:dyDescent="0.25">
      <c r="A13" t="s">
        <v>121</v>
      </c>
      <c r="B13" t="s">
        <v>122</v>
      </c>
      <c r="C13" t="s">
        <v>211</v>
      </c>
      <c r="D13" s="1">
        <f>VLOOKUP(A13,Valuation_data!A:H,8,FALSE)</f>
        <v>12082414000</v>
      </c>
      <c r="E13" s="1">
        <f>VLOOKUP(A13,'Base Cost_Calc'!$A$7:$AX$56,50,FALSE)</f>
        <v>14643913.924813528</v>
      </c>
      <c r="F13" s="1">
        <f t="shared" si="0"/>
        <v>6041207</v>
      </c>
      <c r="G13" s="1">
        <f t="shared" si="1"/>
        <v>8602706.9248135276</v>
      </c>
      <c r="H13" s="15">
        <f t="shared" si="2"/>
        <v>0.58745953900000003</v>
      </c>
    </row>
    <row r="14" spans="1:8" x14ac:dyDescent="0.25">
      <c r="A14" t="s">
        <v>123</v>
      </c>
      <c r="B14" t="s">
        <v>124</v>
      </c>
      <c r="C14" t="s">
        <v>212</v>
      </c>
      <c r="D14" s="1">
        <f>VLOOKUP(A14,Valuation_data!A:H,8,FALSE)</f>
        <v>4285941836.6666665</v>
      </c>
      <c r="E14" s="1">
        <f>VLOOKUP(A14,'Base Cost_Calc'!$A$7:$AX$56,50,FALSE)</f>
        <v>8097770.2279212158</v>
      </c>
      <c r="F14" s="1">
        <f t="shared" si="0"/>
        <v>2142970.9183333335</v>
      </c>
      <c r="G14" s="1">
        <f t="shared" si="1"/>
        <v>5954799.3095878828</v>
      </c>
      <c r="H14" s="15">
        <f t="shared" si="2"/>
        <v>0.73536283999999996</v>
      </c>
    </row>
    <row r="15" spans="1:8" x14ac:dyDescent="0.25">
      <c r="A15" t="s">
        <v>125</v>
      </c>
      <c r="B15" t="s">
        <v>126</v>
      </c>
      <c r="C15" t="s">
        <v>213</v>
      </c>
      <c r="D15" s="1">
        <f>VLOOKUP(A15,Valuation_data!A:H,8,FALSE)</f>
        <v>5372768510</v>
      </c>
      <c r="E15" s="1">
        <f>VLOOKUP(A15,'Base Cost_Calc'!$A$7:$AX$56,50,FALSE)</f>
        <v>11829844.163916191</v>
      </c>
      <c r="F15" s="1">
        <f t="shared" si="0"/>
        <v>2686384.2549999999</v>
      </c>
      <c r="G15" s="1">
        <f t="shared" si="1"/>
        <v>9143459.9089161903</v>
      </c>
      <c r="H15" s="15">
        <f t="shared" si="2"/>
        <v>0.77291465400000003</v>
      </c>
    </row>
    <row r="16" spans="1:8" x14ac:dyDescent="0.25">
      <c r="A16" t="s">
        <v>127</v>
      </c>
      <c r="B16" t="s">
        <v>128</v>
      </c>
      <c r="C16" t="s">
        <v>214</v>
      </c>
      <c r="D16" s="1">
        <f>VLOOKUP(A16,Valuation_data!A:H,8,FALSE)</f>
        <v>25338635310</v>
      </c>
      <c r="E16" s="1">
        <f>VLOOKUP(A16,'Base Cost_Calc'!$A$7:$AX$56,50,FALSE)</f>
        <v>42455456.09279418</v>
      </c>
      <c r="F16" s="1">
        <f t="shared" si="0"/>
        <v>12669317.655000001</v>
      </c>
      <c r="G16" s="1">
        <f t="shared" si="1"/>
        <v>29786138.437794179</v>
      </c>
      <c r="H16" s="15">
        <f t="shared" si="2"/>
        <v>0.70158564199999995</v>
      </c>
    </row>
    <row r="17" spans="1:8" x14ac:dyDescent="0.25">
      <c r="A17" t="s">
        <v>129</v>
      </c>
      <c r="B17" t="s">
        <v>130</v>
      </c>
      <c r="C17" t="s">
        <v>215</v>
      </c>
      <c r="D17" s="1">
        <f>VLOOKUP(A17,Valuation_data!A:H,8,FALSE)</f>
        <v>1952753523.3333333</v>
      </c>
      <c r="E17" s="1">
        <f>VLOOKUP(A17,'Base Cost_Calc'!$A$7:$AX$56,50,FALSE)</f>
        <v>4244398.7420114744</v>
      </c>
      <c r="F17" s="1">
        <f t="shared" si="0"/>
        <v>976376.7616666666</v>
      </c>
      <c r="G17" s="1">
        <f t="shared" si="1"/>
        <v>3268021.9803448077</v>
      </c>
      <c r="H17" s="15">
        <f t="shared" si="2"/>
        <v>0.76996111300000003</v>
      </c>
    </row>
    <row r="18" spans="1:8" x14ac:dyDescent="0.25">
      <c r="A18" t="s">
        <v>131</v>
      </c>
      <c r="B18" t="s">
        <v>132</v>
      </c>
      <c r="C18" t="s">
        <v>216</v>
      </c>
      <c r="D18" s="1">
        <f>VLOOKUP(A18,Valuation_data!A:H,8,FALSE)</f>
        <v>2091929818.3333333</v>
      </c>
      <c r="E18" s="1">
        <f>VLOOKUP(A18,'Base Cost_Calc'!$A$7:$AX$56,50,FALSE)</f>
        <v>6139714.5732956203</v>
      </c>
      <c r="F18" s="1">
        <f t="shared" si="0"/>
        <v>1045964.9091666667</v>
      </c>
      <c r="G18" s="1">
        <f t="shared" si="1"/>
        <v>5093749.6641289536</v>
      </c>
      <c r="H18" s="15">
        <f t="shared" si="2"/>
        <v>0.82963948899999995</v>
      </c>
    </row>
    <row r="19" spans="1:8" x14ac:dyDescent="0.25">
      <c r="A19" t="s">
        <v>133</v>
      </c>
      <c r="B19" t="s">
        <v>134</v>
      </c>
      <c r="C19" t="s">
        <v>217</v>
      </c>
      <c r="D19" s="1">
        <f>VLOOKUP(A19,Valuation_data!A:H,8,FALSE)</f>
        <v>5567600546.666667</v>
      </c>
      <c r="E19" s="1">
        <f>VLOOKUP(A19,'Base Cost_Calc'!$A$7:$AX$56,50,FALSE)</f>
        <v>4940641.4495103741</v>
      </c>
      <c r="F19" s="1">
        <f t="shared" si="0"/>
        <v>2783800.2733333334</v>
      </c>
      <c r="G19" s="1">
        <f t="shared" si="1"/>
        <v>2156841.1761770407</v>
      </c>
      <c r="H19" s="15">
        <f t="shared" si="2"/>
        <v>0.43655084</v>
      </c>
    </row>
    <row r="20" spans="1:8" x14ac:dyDescent="0.25">
      <c r="A20" t="s">
        <v>135</v>
      </c>
      <c r="B20" t="s">
        <v>136</v>
      </c>
      <c r="C20" t="s">
        <v>218</v>
      </c>
      <c r="D20" s="1">
        <f>VLOOKUP(A20,Valuation_data!A:H,8,FALSE)</f>
        <v>1718671290</v>
      </c>
      <c r="E20" s="1">
        <f>VLOOKUP(A20,'Base Cost_Calc'!$A$7:$AX$56,50,FALSE)</f>
        <v>7588527.4684039997</v>
      </c>
      <c r="F20" s="1">
        <f t="shared" si="0"/>
        <v>859335.64500000002</v>
      </c>
      <c r="G20" s="1">
        <f t="shared" si="1"/>
        <v>6729191.8234039992</v>
      </c>
      <c r="H20" s="15">
        <f t="shared" si="2"/>
        <v>0.88675857800000002</v>
      </c>
    </row>
    <row r="21" spans="1:8" x14ac:dyDescent="0.25">
      <c r="A21" t="s">
        <v>137</v>
      </c>
      <c r="B21" t="s">
        <v>138</v>
      </c>
      <c r="C21" t="s">
        <v>219</v>
      </c>
      <c r="D21" s="1">
        <f>VLOOKUP(A21,Valuation_data!A:H,8,FALSE)</f>
        <v>6550950659.333333</v>
      </c>
      <c r="E21" s="1">
        <f>VLOOKUP(A21,'Base Cost_Calc'!$A$7:$AX$56,50,FALSE)</f>
        <v>10095253.117911033</v>
      </c>
      <c r="F21" s="1">
        <f t="shared" si="0"/>
        <v>3275475.3296666667</v>
      </c>
      <c r="G21" s="1">
        <f t="shared" si="1"/>
        <v>6819777.7882443666</v>
      </c>
      <c r="H21" s="15">
        <f t="shared" si="2"/>
        <v>0.67554302099999997</v>
      </c>
    </row>
    <row r="22" spans="1:8" x14ac:dyDescent="0.25">
      <c r="A22" t="s">
        <v>139</v>
      </c>
      <c r="B22" t="s">
        <v>140</v>
      </c>
      <c r="C22" t="s">
        <v>220</v>
      </c>
      <c r="D22" s="1">
        <f>VLOOKUP(A22,Valuation_data!A:H,8,FALSE)</f>
        <v>8092486713.333333</v>
      </c>
      <c r="E22" s="1">
        <f>VLOOKUP(A22,'Base Cost_Calc'!$A$7:$AX$56,50,FALSE)</f>
        <v>12814568.996300379</v>
      </c>
      <c r="F22" s="1">
        <f t="shared" si="0"/>
        <v>4046243.3566666665</v>
      </c>
      <c r="G22" s="1">
        <f t="shared" si="1"/>
        <v>8768325.6396337114</v>
      </c>
      <c r="H22" s="15">
        <f t="shared" si="2"/>
        <v>0.684246629</v>
      </c>
    </row>
    <row r="23" spans="1:8" x14ac:dyDescent="0.25">
      <c r="A23" t="s">
        <v>141</v>
      </c>
      <c r="B23" t="s">
        <v>142</v>
      </c>
      <c r="C23" t="s">
        <v>221</v>
      </c>
      <c r="D23" s="1">
        <f>VLOOKUP(A23,Valuation_data!A:H,8,FALSE)</f>
        <v>4750018376.666667</v>
      </c>
      <c r="E23" s="1">
        <f>VLOOKUP(A23,'Base Cost_Calc'!$A$7:$AX$56,50,FALSE)</f>
        <v>7726440.8795413487</v>
      </c>
      <c r="F23" s="1">
        <f t="shared" si="0"/>
        <v>2375009.1883333335</v>
      </c>
      <c r="G23" s="1">
        <f t="shared" si="1"/>
        <v>5351431.6912080152</v>
      </c>
      <c r="H23" s="15">
        <f t="shared" si="2"/>
        <v>0.69261277899999996</v>
      </c>
    </row>
    <row r="24" spans="1:8" x14ac:dyDescent="0.25">
      <c r="A24" t="s">
        <v>143</v>
      </c>
      <c r="B24" t="s">
        <v>144</v>
      </c>
      <c r="C24" t="s">
        <v>222</v>
      </c>
      <c r="D24" s="1">
        <f>VLOOKUP(A24,Valuation_data!A:H,8,FALSE)</f>
        <v>8842623496.666666</v>
      </c>
      <c r="E24" s="1">
        <f>VLOOKUP(A24,'Base Cost_Calc'!$A$7:$AX$56,50,FALSE)</f>
        <v>20525905.265969854</v>
      </c>
      <c r="F24" s="1">
        <f t="shared" si="0"/>
        <v>4421311.7483333331</v>
      </c>
      <c r="G24" s="1">
        <f t="shared" si="1"/>
        <v>16104593.517636521</v>
      </c>
      <c r="H24" s="15">
        <f t="shared" si="2"/>
        <v>0.78459845299999997</v>
      </c>
    </row>
    <row r="25" spans="1:8" x14ac:dyDescent="0.25">
      <c r="A25" t="s">
        <v>145</v>
      </c>
      <c r="B25" t="s">
        <v>146</v>
      </c>
      <c r="C25" t="s">
        <v>223</v>
      </c>
      <c r="D25" s="1">
        <f>VLOOKUP(A25,Valuation_data!A:H,8,FALSE)</f>
        <v>5160579969.666667</v>
      </c>
      <c r="E25" s="1">
        <f>VLOOKUP(A25,'Base Cost_Calc'!$A$7:$AX$56,50,FALSE)</f>
        <v>11022242.689601006</v>
      </c>
      <c r="F25" s="1">
        <f t="shared" si="0"/>
        <v>2580289.9848333336</v>
      </c>
      <c r="G25" s="1">
        <f t="shared" si="1"/>
        <v>8441952.7047676723</v>
      </c>
      <c r="H25" s="15">
        <f t="shared" si="2"/>
        <v>0.76590154499999996</v>
      </c>
    </row>
    <row r="26" spans="1:8" x14ac:dyDescent="0.25">
      <c r="A26" t="s">
        <v>147</v>
      </c>
      <c r="B26" t="s">
        <v>148</v>
      </c>
      <c r="C26" t="s">
        <v>224</v>
      </c>
      <c r="D26" s="1">
        <f>VLOOKUP(A26,Valuation_data!A:H,8,FALSE)</f>
        <v>4347583556.666667</v>
      </c>
      <c r="E26" s="1">
        <f>VLOOKUP(A26,'Base Cost_Calc'!$A$7:$AX$56,50,FALSE)</f>
        <v>10345475.860826353</v>
      </c>
      <c r="F26" s="1">
        <f t="shared" si="0"/>
        <v>2173791.7783333333</v>
      </c>
      <c r="G26" s="1">
        <f t="shared" si="1"/>
        <v>8171684.0824930193</v>
      </c>
      <c r="H26" s="15">
        <f t="shared" si="2"/>
        <v>0.78987996199999999</v>
      </c>
    </row>
    <row r="27" spans="1:8" x14ac:dyDescent="0.25">
      <c r="A27" t="s">
        <v>149</v>
      </c>
      <c r="B27" t="s">
        <v>150</v>
      </c>
      <c r="C27" t="s">
        <v>225</v>
      </c>
      <c r="D27" s="1">
        <f>VLOOKUP(A27,Valuation_data!A:H,8,FALSE)</f>
        <v>8023517970</v>
      </c>
      <c r="E27" s="1">
        <f>VLOOKUP(A27,'Base Cost_Calc'!$A$7:$AX$56,50,FALSE)</f>
        <v>20703765.423511341</v>
      </c>
      <c r="F27" s="1">
        <f t="shared" si="0"/>
        <v>4011758.9849999999</v>
      </c>
      <c r="G27" s="1">
        <f t="shared" si="1"/>
        <v>16692006.438511342</v>
      </c>
      <c r="H27" s="15">
        <f t="shared" si="2"/>
        <v>0.80623046600000003</v>
      </c>
    </row>
    <row r="28" spans="1:8" x14ac:dyDescent="0.25">
      <c r="A28" t="s">
        <v>151</v>
      </c>
      <c r="B28" t="s">
        <v>152</v>
      </c>
      <c r="C28" t="s">
        <v>226</v>
      </c>
      <c r="D28" s="1">
        <f>VLOOKUP(A28,Valuation_data!A:H,8,FALSE)</f>
        <v>642007810</v>
      </c>
      <c r="E28" s="1">
        <f>VLOOKUP(A28,'Base Cost_Calc'!$A$7:$AX$56,50,FALSE)</f>
        <v>4871938.7685708208</v>
      </c>
      <c r="F28" s="1">
        <f t="shared" si="0"/>
        <v>321003.90500000003</v>
      </c>
      <c r="G28" s="1">
        <f t="shared" si="1"/>
        <v>4550934.8635708205</v>
      </c>
      <c r="H28" s="15">
        <f t="shared" si="2"/>
        <v>0.93411167100000003</v>
      </c>
    </row>
    <row r="29" spans="1:8" x14ac:dyDescent="0.25">
      <c r="A29" t="s">
        <v>153</v>
      </c>
      <c r="B29" t="s">
        <v>154</v>
      </c>
      <c r="C29" t="s">
        <v>227</v>
      </c>
      <c r="D29" s="1">
        <f>VLOOKUP(A29,Valuation_data!A:H,8,FALSE)</f>
        <v>3051711026.6666665</v>
      </c>
      <c r="E29" s="1">
        <f>VLOOKUP(A29,'Base Cost_Calc'!$A$7:$AX$56,50,FALSE)</f>
        <v>6450388.5248748939</v>
      </c>
      <c r="F29" s="1">
        <f t="shared" si="0"/>
        <v>1525855.5133333332</v>
      </c>
      <c r="G29" s="1">
        <f t="shared" si="1"/>
        <v>4924533.0115415603</v>
      </c>
      <c r="H29" s="15">
        <f t="shared" si="2"/>
        <v>0.76344750299999997</v>
      </c>
    </row>
    <row r="30" spans="1:8" x14ac:dyDescent="0.25">
      <c r="A30" t="s">
        <v>155</v>
      </c>
      <c r="B30" t="s">
        <v>156</v>
      </c>
      <c r="C30" t="s">
        <v>228</v>
      </c>
      <c r="D30" s="1">
        <f>VLOOKUP(A30,Valuation_data!A:H,8,FALSE)</f>
        <v>3368625180</v>
      </c>
      <c r="E30" s="1">
        <f>VLOOKUP(A30,'Base Cost_Calc'!$A$7:$AX$56,50,FALSE)</f>
        <v>13129065.782266613</v>
      </c>
      <c r="F30" s="1">
        <f t="shared" si="0"/>
        <v>1684312.59</v>
      </c>
      <c r="G30" s="1">
        <f t="shared" si="1"/>
        <v>11444753.192266613</v>
      </c>
      <c r="H30" s="15">
        <f t="shared" si="2"/>
        <v>0.87171116199999998</v>
      </c>
    </row>
    <row r="31" spans="1:8" x14ac:dyDescent="0.25">
      <c r="A31" t="s">
        <v>157</v>
      </c>
      <c r="B31" t="s">
        <v>158</v>
      </c>
      <c r="C31" t="s">
        <v>229</v>
      </c>
      <c r="D31" s="1">
        <f>VLOOKUP(A31,Valuation_data!A:H,8,FALSE)</f>
        <v>2924741820</v>
      </c>
      <c r="E31" s="1">
        <f>VLOOKUP(A31,'Base Cost_Calc'!$A$7:$AX$56,50,FALSE)</f>
        <v>10493611.492885465</v>
      </c>
      <c r="F31" s="1">
        <f t="shared" si="0"/>
        <v>1462370.91</v>
      </c>
      <c r="G31" s="1">
        <f t="shared" si="1"/>
        <v>9031240.5828854647</v>
      </c>
      <c r="H31" s="15">
        <f t="shared" si="2"/>
        <v>0.86064178999999996</v>
      </c>
    </row>
    <row r="32" spans="1:8" x14ac:dyDescent="0.25">
      <c r="A32" t="s">
        <v>159</v>
      </c>
      <c r="B32" t="s">
        <v>160</v>
      </c>
      <c r="C32" t="s">
        <v>230</v>
      </c>
      <c r="D32" s="1">
        <f>VLOOKUP(A32,Valuation_data!A:H,8,FALSE)</f>
        <v>4158582973.3333335</v>
      </c>
      <c r="E32" s="1">
        <f>VLOOKUP(A32,'Base Cost_Calc'!$A$7:$AX$56,50,FALSE)</f>
        <v>9707540.9773208108</v>
      </c>
      <c r="F32" s="1">
        <f t="shared" si="0"/>
        <v>2079291.4866666668</v>
      </c>
      <c r="G32" s="1">
        <f t="shared" si="1"/>
        <v>7628249.4906541444</v>
      </c>
      <c r="H32" s="15">
        <f t="shared" si="2"/>
        <v>0.78580657099999995</v>
      </c>
    </row>
    <row r="33" spans="1:8" x14ac:dyDescent="0.25">
      <c r="A33" t="s">
        <v>161</v>
      </c>
      <c r="B33" t="s">
        <v>162</v>
      </c>
      <c r="C33" t="s">
        <v>231</v>
      </c>
      <c r="D33" s="1">
        <f>VLOOKUP(A33,Valuation_data!A:H,8,FALSE)</f>
        <v>6498684813.333333</v>
      </c>
      <c r="E33" s="1">
        <f>VLOOKUP(A33,'Base Cost_Calc'!$A$7:$AX$56,50,FALSE)</f>
        <v>11601780.18509415</v>
      </c>
      <c r="F33" s="1">
        <f t="shared" si="0"/>
        <v>3249342.4066666667</v>
      </c>
      <c r="G33" s="1">
        <f t="shared" si="1"/>
        <v>8352437.7784274835</v>
      </c>
      <c r="H33" s="15">
        <f t="shared" si="2"/>
        <v>0.71992725599999996</v>
      </c>
    </row>
    <row r="34" spans="1:8" x14ac:dyDescent="0.25">
      <c r="A34" t="s">
        <v>163</v>
      </c>
      <c r="B34" t="s">
        <v>164</v>
      </c>
      <c r="C34" t="s">
        <v>232</v>
      </c>
      <c r="D34" s="1">
        <f>VLOOKUP(A34,Valuation_data!A:H,8,FALSE)</f>
        <v>1333883823.3333333</v>
      </c>
      <c r="E34" s="1">
        <f>VLOOKUP(A34,'Base Cost_Calc'!$A$7:$AX$56,50,FALSE)</f>
        <v>6823073.3097150167</v>
      </c>
      <c r="F34" s="1">
        <f t="shared" si="0"/>
        <v>666941.91166666662</v>
      </c>
      <c r="G34" s="1">
        <f t="shared" si="1"/>
        <v>6156131.3980483506</v>
      </c>
      <c r="H34" s="15">
        <f t="shared" si="2"/>
        <v>0.90225197899999998</v>
      </c>
    </row>
    <row r="35" spans="1:8" x14ac:dyDescent="0.25">
      <c r="A35" t="s">
        <v>165</v>
      </c>
      <c r="B35" t="s">
        <v>166</v>
      </c>
      <c r="C35" t="s">
        <v>233</v>
      </c>
      <c r="D35" s="1">
        <f>VLOOKUP(A35,Valuation_data!A:H,8,FALSE)</f>
        <v>3010007060</v>
      </c>
      <c r="E35" s="1">
        <f>VLOOKUP(A35,'Base Cost_Calc'!$A$7:$AX$56,50,FALSE)</f>
        <v>7995136.2137248181</v>
      </c>
      <c r="F35" s="1">
        <f t="shared" si="0"/>
        <v>1505003.53</v>
      </c>
      <c r="G35" s="1">
        <f t="shared" si="1"/>
        <v>6490132.6837248178</v>
      </c>
      <c r="H35" s="15">
        <f t="shared" si="2"/>
        <v>0.81176011400000003</v>
      </c>
    </row>
    <row r="36" spans="1:8" x14ac:dyDescent="0.25">
      <c r="A36" t="s">
        <v>167</v>
      </c>
      <c r="B36" t="s">
        <v>168</v>
      </c>
      <c r="C36" t="s">
        <v>234</v>
      </c>
      <c r="D36" s="1">
        <f>VLOOKUP(A36,Valuation_data!A:H,8,FALSE)</f>
        <v>2812239310</v>
      </c>
      <c r="E36" s="1">
        <f>VLOOKUP(A36,'Base Cost_Calc'!$A$7:$AX$56,50,FALSE)</f>
        <v>6213903.976295718</v>
      </c>
      <c r="F36" s="1">
        <f t="shared" si="0"/>
        <v>1406119.655</v>
      </c>
      <c r="G36" s="1">
        <f t="shared" si="1"/>
        <v>4807784.3212957177</v>
      </c>
      <c r="H36" s="15">
        <f t="shared" si="2"/>
        <v>0.77371397099999994</v>
      </c>
    </row>
    <row r="37" spans="1:8" x14ac:dyDescent="0.25">
      <c r="A37" t="s">
        <v>169</v>
      </c>
      <c r="B37" t="s">
        <v>170</v>
      </c>
      <c r="C37" t="s">
        <v>235</v>
      </c>
      <c r="D37" s="1">
        <f>VLOOKUP(A37,Valuation_data!A:H,8,FALSE)</f>
        <v>4099414620</v>
      </c>
      <c r="E37" s="1">
        <f>VLOOKUP(A37,'Base Cost_Calc'!$A$7:$AX$56,50,FALSE)</f>
        <v>9815158.1245695334</v>
      </c>
      <c r="F37" s="1">
        <f t="shared" si="0"/>
        <v>2049707.31</v>
      </c>
      <c r="G37" s="1">
        <f t="shared" si="1"/>
        <v>7765450.8145695329</v>
      </c>
      <c r="H37" s="15">
        <f t="shared" si="2"/>
        <v>0.79116920099999999</v>
      </c>
    </row>
    <row r="38" spans="1:8" x14ac:dyDescent="0.25">
      <c r="A38" t="s">
        <v>171</v>
      </c>
      <c r="B38" t="s">
        <v>172</v>
      </c>
      <c r="C38" t="s">
        <v>236</v>
      </c>
      <c r="D38" s="1">
        <f>VLOOKUP(A38,Valuation_data!A:H,8,FALSE)</f>
        <v>4525570543.333333</v>
      </c>
      <c r="E38" s="1">
        <f>VLOOKUP(A38,'Base Cost_Calc'!$A$7:$AX$56,50,FALSE)</f>
        <v>9061597.6051868573</v>
      </c>
      <c r="F38" s="1">
        <f t="shared" si="0"/>
        <v>2262785.2716666665</v>
      </c>
      <c r="G38" s="1">
        <f t="shared" si="1"/>
        <v>6798812.3335201908</v>
      </c>
      <c r="H38" s="15">
        <f t="shared" si="2"/>
        <v>0.75028848400000003</v>
      </c>
    </row>
    <row r="39" spans="1:8" x14ac:dyDescent="0.25">
      <c r="A39" t="s">
        <v>173</v>
      </c>
      <c r="B39" t="s">
        <v>174</v>
      </c>
      <c r="C39" t="s">
        <v>237</v>
      </c>
      <c r="D39" s="1">
        <f>VLOOKUP(A39,Valuation_data!A:H,8,FALSE)</f>
        <v>2070259633.3333333</v>
      </c>
      <c r="E39" s="1">
        <f>VLOOKUP(A39,'Base Cost_Calc'!$A$7:$AX$56,50,FALSE)</f>
        <v>5650793.0915196408</v>
      </c>
      <c r="F39" s="1">
        <f t="shared" si="0"/>
        <v>1035129.8166666667</v>
      </c>
      <c r="G39" s="1">
        <f t="shared" si="1"/>
        <v>4615663.2748529743</v>
      </c>
      <c r="H39" s="15">
        <f t="shared" si="2"/>
        <v>0.81681689599999996</v>
      </c>
    </row>
    <row r="40" spans="1:8" x14ac:dyDescent="0.25">
      <c r="A40" t="s">
        <v>175</v>
      </c>
      <c r="B40" t="s">
        <v>176</v>
      </c>
      <c r="C40" t="s">
        <v>238</v>
      </c>
      <c r="D40" s="1">
        <f>VLOOKUP(A40,Valuation_data!A:H,8,FALSE)</f>
        <v>1896696636.6666667</v>
      </c>
      <c r="E40" s="1">
        <f>VLOOKUP(A40,'Base Cost_Calc'!$A$7:$AX$56,50,FALSE)</f>
        <v>5447111.2634611363</v>
      </c>
      <c r="F40" s="1">
        <f t="shared" si="0"/>
        <v>948348.31833333336</v>
      </c>
      <c r="G40" s="1">
        <f t="shared" si="1"/>
        <v>4498762.9451278029</v>
      </c>
      <c r="H40" s="15">
        <f t="shared" si="2"/>
        <v>0.82589885299999999</v>
      </c>
    </row>
    <row r="41" spans="1:8" x14ac:dyDescent="0.25">
      <c r="A41" t="s">
        <v>177</v>
      </c>
      <c r="B41" t="s">
        <v>178</v>
      </c>
      <c r="C41" t="s">
        <v>239</v>
      </c>
      <c r="D41" s="1">
        <f>VLOOKUP(A41,Valuation_data!A:H,8,FALSE)</f>
        <v>3633672536.6666665</v>
      </c>
      <c r="E41" s="1">
        <f>VLOOKUP(A41,'Base Cost_Calc'!$A$7:$AX$56,50,FALSE)</f>
        <v>7296140.8337461958</v>
      </c>
      <c r="F41" s="1">
        <f t="shared" si="0"/>
        <v>1816836.2683333333</v>
      </c>
      <c r="G41" s="1">
        <f t="shared" si="1"/>
        <v>5479304.5654128622</v>
      </c>
      <c r="H41" s="15">
        <f t="shared" si="2"/>
        <v>0.75098667799999996</v>
      </c>
    </row>
    <row r="42" spans="1:8" x14ac:dyDescent="0.25">
      <c r="A42" t="s">
        <v>179</v>
      </c>
      <c r="B42" t="s">
        <v>180</v>
      </c>
      <c r="C42" t="s">
        <v>240</v>
      </c>
      <c r="D42" s="1">
        <f>VLOOKUP(A42,Valuation_data!A:H,8,FALSE)</f>
        <v>2096385323.3333333</v>
      </c>
      <c r="E42" s="1">
        <f>VLOOKUP(A42,'Base Cost_Calc'!$A$7:$AX$56,50,FALSE)</f>
        <v>7549043.5047882795</v>
      </c>
      <c r="F42" s="1">
        <f t="shared" si="0"/>
        <v>1048192.6616666666</v>
      </c>
      <c r="G42" s="1">
        <f t="shared" si="1"/>
        <v>6500850.8431216124</v>
      </c>
      <c r="H42" s="15">
        <f t="shared" si="2"/>
        <v>0.86114894399999997</v>
      </c>
    </row>
    <row r="43" spans="1:8" x14ac:dyDescent="0.25">
      <c r="A43" t="s">
        <v>181</v>
      </c>
      <c r="B43" t="s">
        <v>182</v>
      </c>
      <c r="C43" t="s">
        <v>241</v>
      </c>
      <c r="D43" s="1">
        <f>VLOOKUP(A43,Valuation_data!A:H,8,FALSE)</f>
        <v>2160055126.6666665</v>
      </c>
      <c r="E43" s="1">
        <f>VLOOKUP(A43,'Base Cost_Calc'!$A$7:$AX$56,50,FALSE)</f>
        <v>5434728.910041796</v>
      </c>
      <c r="F43" s="1">
        <f t="shared" si="0"/>
        <v>1080027.5633333332</v>
      </c>
      <c r="G43" s="1">
        <f t="shared" si="1"/>
        <v>4354701.3467084626</v>
      </c>
      <c r="H43" s="15">
        <f t="shared" si="2"/>
        <v>0.801272965</v>
      </c>
    </row>
    <row r="44" spans="1:8" x14ac:dyDescent="0.25">
      <c r="A44" t="s">
        <v>183</v>
      </c>
      <c r="B44" t="s">
        <v>184</v>
      </c>
      <c r="C44" t="s">
        <v>242</v>
      </c>
      <c r="D44" s="1">
        <f>VLOOKUP(A44,Valuation_data!A:H,8,FALSE)</f>
        <v>2240945396.6666665</v>
      </c>
      <c r="E44" s="1">
        <f>VLOOKUP(A44,'Base Cost_Calc'!$A$7:$AX$56,50,FALSE)</f>
        <v>7091815.9080565013</v>
      </c>
      <c r="F44" s="1">
        <f t="shared" si="0"/>
        <v>1120472.6983333332</v>
      </c>
      <c r="G44" s="1">
        <f t="shared" si="1"/>
        <v>5971343.2097231681</v>
      </c>
      <c r="H44" s="15">
        <f t="shared" si="2"/>
        <v>0.84200482499999996</v>
      </c>
    </row>
    <row r="45" spans="1:8" x14ac:dyDescent="0.25">
      <c r="A45" t="s">
        <v>185</v>
      </c>
      <c r="B45" t="s">
        <v>186</v>
      </c>
      <c r="C45" t="s">
        <v>243</v>
      </c>
      <c r="D45" s="1">
        <f>VLOOKUP(A45,Valuation_data!A:H,8,FALSE)</f>
        <v>6431659683.333333</v>
      </c>
      <c r="E45" s="1">
        <f>VLOOKUP(A45,'Base Cost_Calc'!$A$7:$AX$56,50,FALSE)</f>
        <v>10698494.265915195</v>
      </c>
      <c r="F45" s="1">
        <f t="shared" si="0"/>
        <v>3215829.8416666668</v>
      </c>
      <c r="G45" s="1">
        <f t="shared" si="1"/>
        <v>7482664.4242485277</v>
      </c>
      <c r="H45" s="15">
        <f t="shared" si="2"/>
        <v>0.69941285600000003</v>
      </c>
    </row>
    <row r="46" spans="1:8" x14ac:dyDescent="0.25">
      <c r="A46" t="s">
        <v>187</v>
      </c>
      <c r="B46" t="s">
        <v>188</v>
      </c>
      <c r="C46" t="s">
        <v>244</v>
      </c>
      <c r="D46" s="1">
        <f>VLOOKUP(A46,Valuation_data!A:H,8,FALSE)</f>
        <v>3154301826.6666665</v>
      </c>
      <c r="E46" s="1">
        <f>VLOOKUP(A46,'Base Cost_Calc'!$A$7:$AX$56,50,FALSE)</f>
        <v>13452224.058904022</v>
      </c>
      <c r="F46" s="1">
        <f t="shared" si="0"/>
        <v>1577150.9133333333</v>
      </c>
      <c r="G46" s="1">
        <f t="shared" si="1"/>
        <v>11875073.145570688</v>
      </c>
      <c r="H46" s="15">
        <f t="shared" si="2"/>
        <v>0.88275909600000002</v>
      </c>
    </row>
    <row r="47" spans="1:8" x14ac:dyDescent="0.25">
      <c r="A47" t="s">
        <v>189</v>
      </c>
      <c r="B47" t="s">
        <v>190</v>
      </c>
      <c r="C47" t="s">
        <v>245</v>
      </c>
      <c r="D47" s="1">
        <f>VLOOKUP(A47,Valuation_data!A:H,8,FALSE)</f>
        <v>986196516.66666663</v>
      </c>
      <c r="E47" s="1">
        <f>VLOOKUP(A47,'Base Cost_Calc'!$A$7:$AX$56,50,FALSE)</f>
        <v>5142090.9509616196</v>
      </c>
      <c r="F47" s="1">
        <f t="shared" si="0"/>
        <v>493098.2583333333</v>
      </c>
      <c r="G47" s="1">
        <f t="shared" si="1"/>
        <v>4648992.6926282868</v>
      </c>
      <c r="H47" s="15">
        <f t="shared" si="2"/>
        <v>0.90410549699999998</v>
      </c>
    </row>
    <row r="48" spans="1:8" x14ac:dyDescent="0.25">
      <c r="A48" t="s">
        <v>191</v>
      </c>
      <c r="B48" t="s">
        <v>192</v>
      </c>
      <c r="C48" t="s">
        <v>246</v>
      </c>
      <c r="D48" s="1">
        <f>VLOOKUP(A48,Valuation_data!A:H,8,FALSE)</f>
        <v>2250539060</v>
      </c>
      <c r="E48" s="1">
        <f>VLOOKUP(A48,'Base Cost_Calc'!$A$7:$AX$56,50,FALSE)</f>
        <v>4024898.8776376466</v>
      </c>
      <c r="F48" s="1">
        <f t="shared" si="0"/>
        <v>1125269.53</v>
      </c>
      <c r="G48" s="1">
        <f t="shared" si="1"/>
        <v>2899629.3476376468</v>
      </c>
      <c r="H48" s="15">
        <f t="shared" si="2"/>
        <v>0.72042290600000003</v>
      </c>
    </row>
    <row r="49" spans="1:8" x14ac:dyDescent="0.25">
      <c r="A49" t="s">
        <v>193</v>
      </c>
      <c r="B49" t="s">
        <v>194</v>
      </c>
      <c r="C49" t="s">
        <v>247</v>
      </c>
      <c r="D49" s="1">
        <f>VLOOKUP(A49,Valuation_data!A:H,8,FALSE)</f>
        <v>10519823610</v>
      </c>
      <c r="E49" s="1">
        <f>VLOOKUP(A49,'Base Cost_Calc'!$A$7:$AX$56,50,FALSE)</f>
        <v>8989250.3369140979</v>
      </c>
      <c r="F49" s="1">
        <f t="shared" si="0"/>
        <v>5259911.8049999997</v>
      </c>
      <c r="G49" s="1">
        <f t="shared" si="1"/>
        <v>3729338.5319140982</v>
      </c>
      <c r="H49" s="15">
        <f t="shared" si="2"/>
        <v>0.41486646700000002</v>
      </c>
    </row>
    <row r="50" spans="1:8" x14ac:dyDescent="0.25">
      <c r="A50" t="s">
        <v>195</v>
      </c>
      <c r="B50" t="s">
        <v>196</v>
      </c>
      <c r="C50" t="s">
        <v>248</v>
      </c>
      <c r="D50" s="1">
        <f>VLOOKUP(A50,Valuation_data!A:H,8,FALSE)</f>
        <v>821297710</v>
      </c>
      <c r="E50" s="1">
        <f>VLOOKUP(A50,'Base Cost_Calc'!$A$7:$AX$56,50,FALSE)</f>
        <v>3312523.3995085778</v>
      </c>
      <c r="F50" s="1">
        <f t="shared" si="0"/>
        <v>410648.85499999998</v>
      </c>
      <c r="G50" s="1">
        <f t="shared" si="1"/>
        <v>2901874.5445085778</v>
      </c>
      <c r="H50" s="15">
        <f t="shared" si="2"/>
        <v>0.87603140999999995</v>
      </c>
    </row>
    <row r="51" spans="1:8" x14ac:dyDescent="0.25">
      <c r="A51" t="s">
        <v>197</v>
      </c>
      <c r="B51" t="s">
        <v>198</v>
      </c>
      <c r="C51" t="s">
        <v>249</v>
      </c>
      <c r="D51" s="1">
        <f>VLOOKUP(A51,Valuation_data!A:H,8,FALSE)</f>
        <v>2520245490</v>
      </c>
      <c r="E51" s="1">
        <f>VLOOKUP(A51,'Base Cost_Calc'!$A$7:$AX$56,50,FALSE)</f>
        <v>6191861.9650024641</v>
      </c>
      <c r="F51" s="1">
        <f t="shared" si="0"/>
        <v>1260122.7450000001</v>
      </c>
      <c r="G51" s="1">
        <f t="shared" si="1"/>
        <v>4931739.220002464</v>
      </c>
      <c r="H51" s="15">
        <f t="shared" si="2"/>
        <v>0.79648726800000003</v>
      </c>
    </row>
    <row r="52" spans="1:8" x14ac:dyDescent="0.25">
      <c r="A52" s="135" t="s">
        <v>914</v>
      </c>
      <c r="B52" t="s">
        <v>250</v>
      </c>
      <c r="C52" t="s">
        <v>317</v>
      </c>
      <c r="D52" s="123">
        <f>SUM(D3:D51)</f>
        <v>232524755600.66663</v>
      </c>
      <c r="E52" s="123">
        <f>SUM(E3:E51)</f>
        <v>478250248.57451212</v>
      </c>
      <c r="F52" s="123">
        <f>SUM(F3:F51)</f>
        <v>116262377.80033334</v>
      </c>
      <c r="G52" s="123">
        <f>SUM(G3:G51)</f>
        <v>361987870.77417874</v>
      </c>
      <c r="H52" s="124">
        <f>ROUND(G52/E52,8)</f>
        <v>0.75690053999999996</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65545-AAB2-4BB7-A4FE-F7EBB8771E0B}">
  <dimension ref="A1:AY60"/>
  <sheetViews>
    <sheetView workbookViewId="0">
      <pane xSplit="3" ySplit="6" topLeftCell="AN7" activePane="bottomRight" state="frozen"/>
      <selection pane="topRight" activeCell="D1" sqref="D1"/>
      <selection pane="bottomLeft" activeCell="A7" sqref="A7"/>
      <selection pane="bottomRight" activeCell="AS13" sqref="AS13"/>
    </sheetView>
  </sheetViews>
  <sheetFormatPr defaultRowHeight="15" x14ac:dyDescent="0.25"/>
  <cols>
    <col min="1" max="1" width="7.5703125" bestFit="1" customWidth="1"/>
    <col min="2" max="2" width="46" bestFit="1" customWidth="1"/>
    <col min="3" max="3" width="13.140625" bestFit="1" customWidth="1"/>
    <col min="4" max="4" width="12.5703125" customWidth="1"/>
    <col min="5" max="5" width="13.28515625" customWidth="1"/>
    <col min="6" max="6" width="13.28515625" bestFit="1" customWidth="1"/>
    <col min="7" max="7" width="12.7109375" customWidth="1"/>
    <col min="8" max="8" width="15.28515625" bestFit="1" customWidth="1"/>
    <col min="9" max="9" width="8.140625" bestFit="1" customWidth="1"/>
    <col min="10" max="10" width="14.28515625" bestFit="1" customWidth="1"/>
    <col min="11" max="11" width="9.85546875" bestFit="1" customWidth="1"/>
    <col min="12" max="12" width="13" customWidth="1"/>
    <col min="13" max="13" width="13.28515625" bestFit="1" customWidth="1"/>
    <col min="14" max="14" width="15.28515625" bestFit="1" customWidth="1"/>
    <col min="15" max="15" width="12" customWidth="1"/>
    <col min="16" max="16" width="14.28515625" customWidth="1"/>
    <col min="17" max="17" width="11.85546875" customWidth="1"/>
    <col min="18" max="18" width="13.28515625" bestFit="1" customWidth="1"/>
    <col min="20" max="20" width="14.28515625" bestFit="1" customWidth="1"/>
    <col min="21" max="21" width="12.7109375" bestFit="1" customWidth="1"/>
    <col min="22" max="22" width="13.85546875" customWidth="1"/>
    <col min="23" max="24" width="12.7109375" bestFit="1" customWidth="1"/>
    <col min="25" max="25" width="13.85546875" bestFit="1" customWidth="1"/>
    <col min="26" max="26" width="15.140625" bestFit="1" customWidth="1"/>
    <col min="27" max="27" width="12.7109375" bestFit="1" customWidth="1"/>
    <col min="29" max="29" width="13.42578125" bestFit="1" customWidth="1"/>
    <col min="30" max="30" width="14.28515625" bestFit="1" customWidth="1"/>
    <col min="31" max="31" width="11.5703125" bestFit="1" customWidth="1"/>
    <col min="32" max="32" width="13.85546875" customWidth="1"/>
    <col min="33" max="35" width="12.7109375" bestFit="1" customWidth="1"/>
    <col min="36" max="36" width="11.140625" customWidth="1"/>
    <col min="37" max="37" width="10.7109375" bestFit="1" customWidth="1"/>
    <col min="38" max="39" width="12.7109375" bestFit="1" customWidth="1"/>
    <col min="40" max="40" width="13.7109375" customWidth="1"/>
    <col min="41" max="41" width="12.28515625" customWidth="1"/>
    <col min="42" max="42" width="10.85546875" bestFit="1" customWidth="1"/>
    <col min="43" max="43" width="13.85546875" bestFit="1" customWidth="1"/>
    <col min="44" max="44" width="11.28515625" customWidth="1"/>
    <col min="46" max="46" width="11.28515625" customWidth="1"/>
    <col min="47" max="47" width="12.7109375" customWidth="1"/>
    <col min="48" max="48" width="12.7109375" bestFit="1" customWidth="1"/>
    <col min="49" max="49" width="13.85546875" bestFit="1" customWidth="1"/>
    <col min="50" max="50" width="15.5703125" bestFit="1" customWidth="1"/>
  </cols>
  <sheetData>
    <row r="1" spans="1:51" x14ac:dyDescent="0.25">
      <c r="A1" s="36" t="s">
        <v>76</v>
      </c>
      <c r="B1" t="s">
        <v>251</v>
      </c>
      <c r="C1" s="28">
        <v>17152.68</v>
      </c>
      <c r="N1" s="36" t="s">
        <v>63</v>
      </c>
      <c r="O1" t="s">
        <v>252</v>
      </c>
      <c r="Q1" s="9">
        <v>68712.566870916795</v>
      </c>
      <c r="T1" s="36" t="s">
        <v>84</v>
      </c>
      <c r="U1" t="s">
        <v>253</v>
      </c>
      <c r="W1" s="9">
        <v>36.198530281198444</v>
      </c>
      <c r="Y1" s="36" t="s">
        <v>67</v>
      </c>
      <c r="Z1" t="s">
        <v>254</v>
      </c>
      <c r="AC1" s="9">
        <v>55972.974027932774</v>
      </c>
      <c r="AD1" s="36" t="s">
        <v>55</v>
      </c>
      <c r="AE1" t="s">
        <v>255</v>
      </c>
      <c r="AH1" s="9">
        <v>123639.30436303226</v>
      </c>
      <c r="AJ1" s="78" t="s">
        <v>254</v>
      </c>
      <c r="AK1" s="78"/>
      <c r="AL1" s="78"/>
      <c r="AM1" s="79">
        <f>AC1</f>
        <v>55972.974027932774</v>
      </c>
      <c r="AN1" s="78" t="s">
        <v>256</v>
      </c>
      <c r="AO1" s="78"/>
      <c r="AR1" s="12" t="s">
        <v>257</v>
      </c>
      <c r="AS1" s="12"/>
      <c r="AT1" s="12"/>
      <c r="AU1" s="10">
        <f>W1</f>
        <v>36.198530281198444</v>
      </c>
      <c r="AV1" s="78" t="s">
        <v>256</v>
      </c>
      <c r="AW1" s="78"/>
    </row>
    <row r="2" spans="1:51" x14ac:dyDescent="0.25">
      <c r="A2" s="36" t="s">
        <v>61</v>
      </c>
      <c r="B2" t="s">
        <v>258</v>
      </c>
      <c r="C2" s="28">
        <v>68022.223189749609</v>
      </c>
      <c r="E2" s="7"/>
      <c r="F2" s="7"/>
      <c r="N2" s="36" t="s">
        <v>65</v>
      </c>
      <c r="O2" t="s">
        <v>259</v>
      </c>
      <c r="Q2" s="9">
        <v>74063.831282582032</v>
      </c>
      <c r="T2" s="36" t="s">
        <v>86</v>
      </c>
      <c r="U2" t="s">
        <v>260</v>
      </c>
      <c r="W2" s="9">
        <v>243.80646195075474</v>
      </c>
      <c r="Y2" s="36" t="s">
        <v>69</v>
      </c>
      <c r="Z2" t="s">
        <v>261</v>
      </c>
      <c r="AC2" s="9">
        <v>49696.518920332368</v>
      </c>
      <c r="AD2" s="36" t="s">
        <v>57</v>
      </c>
      <c r="AE2" t="s">
        <v>262</v>
      </c>
      <c r="AH2" s="9">
        <v>100368.70996592531</v>
      </c>
      <c r="AI2" s="36" t="s">
        <v>73</v>
      </c>
      <c r="AJ2" t="s">
        <v>74</v>
      </c>
      <c r="AM2" s="9">
        <v>34356.241434326796</v>
      </c>
      <c r="AQ2" s="36" t="s">
        <v>90</v>
      </c>
      <c r="AR2" t="s">
        <v>91</v>
      </c>
      <c r="AU2" s="9">
        <v>1418.1569999999999</v>
      </c>
    </row>
    <row r="3" spans="1:51" x14ac:dyDescent="0.25">
      <c r="B3" s="105" t="s">
        <v>263</v>
      </c>
      <c r="C3" s="106">
        <f>'Detailed SFPR'!L12</f>
        <v>9855.6200000000008</v>
      </c>
      <c r="D3" s="27"/>
      <c r="E3" s="104"/>
      <c r="N3" s="36" t="s">
        <v>80</v>
      </c>
      <c r="O3" t="s">
        <v>264</v>
      </c>
      <c r="Q3" s="9">
        <v>48.085688326773592</v>
      </c>
      <c r="T3" s="36" t="s">
        <v>265</v>
      </c>
      <c r="U3" t="s">
        <v>266</v>
      </c>
      <c r="W3" s="9">
        <v>37.5</v>
      </c>
      <c r="Y3" s="36" t="s">
        <v>73</v>
      </c>
      <c r="Z3" t="s">
        <v>267</v>
      </c>
      <c r="AC3" s="9">
        <v>45333.052897225978</v>
      </c>
      <c r="AD3" s="36" t="s">
        <v>59</v>
      </c>
      <c r="AE3" t="s">
        <v>60</v>
      </c>
      <c r="AH3" s="9">
        <v>97627.89306602237</v>
      </c>
      <c r="AR3" s="27"/>
      <c r="AS3" s="27"/>
      <c r="AT3" s="27"/>
      <c r="AU3" s="104"/>
      <c r="AV3" s="27"/>
      <c r="AW3" s="27"/>
      <c r="AX3" s="27"/>
    </row>
    <row r="4" spans="1:51" x14ac:dyDescent="0.25">
      <c r="N4" s="36" t="s">
        <v>82</v>
      </c>
      <c r="O4" t="s">
        <v>268</v>
      </c>
      <c r="Q4" s="9">
        <v>192.21407165403897</v>
      </c>
      <c r="T4" s="36" t="s">
        <v>269</v>
      </c>
      <c r="U4" t="s">
        <v>270</v>
      </c>
      <c r="W4" s="9">
        <v>31</v>
      </c>
      <c r="Z4" s="9"/>
    </row>
    <row r="5" spans="1:51" x14ac:dyDescent="0.25">
      <c r="Z5" s="9"/>
    </row>
    <row r="6" spans="1:51" s="4" customFormat="1" ht="60" x14ac:dyDescent="0.25">
      <c r="A6" s="4" t="s">
        <v>93</v>
      </c>
      <c r="B6" s="3" t="s">
        <v>940</v>
      </c>
      <c r="C6" s="4" t="s">
        <v>95</v>
      </c>
      <c r="D6" s="3" t="s">
        <v>271</v>
      </c>
      <c r="E6" s="5" t="s">
        <v>199</v>
      </c>
      <c r="F6" s="5" t="s">
        <v>993</v>
      </c>
      <c r="G6" s="3" t="s">
        <v>272</v>
      </c>
      <c r="H6" s="3" t="s">
        <v>273</v>
      </c>
      <c r="I6" s="3" t="s">
        <v>274</v>
      </c>
      <c r="J6" s="3" t="s">
        <v>275</v>
      </c>
      <c r="K6" s="3" t="s">
        <v>276</v>
      </c>
      <c r="L6" s="3" t="s">
        <v>277</v>
      </c>
      <c r="M6" s="3" t="s">
        <v>278</v>
      </c>
      <c r="N6" s="14" t="s">
        <v>279</v>
      </c>
      <c r="O6" s="3" t="s">
        <v>280</v>
      </c>
      <c r="P6" s="3" t="s">
        <v>281</v>
      </c>
      <c r="Q6" s="3" t="s">
        <v>282</v>
      </c>
      <c r="R6" s="3" t="s">
        <v>283</v>
      </c>
      <c r="S6" s="3" t="s">
        <v>284</v>
      </c>
      <c r="T6" s="3" t="s">
        <v>285</v>
      </c>
      <c r="U6" s="3" t="s">
        <v>286</v>
      </c>
      <c r="V6" s="3" t="s">
        <v>287</v>
      </c>
      <c r="W6" s="3" t="s">
        <v>288</v>
      </c>
      <c r="X6" s="3" t="s">
        <v>289</v>
      </c>
      <c r="Y6" s="14" t="s">
        <v>290</v>
      </c>
      <c r="Z6" s="3" t="s">
        <v>291</v>
      </c>
      <c r="AA6" s="3" t="s">
        <v>292</v>
      </c>
      <c r="AB6" s="3" t="s">
        <v>293</v>
      </c>
      <c r="AC6" s="3" t="s">
        <v>294</v>
      </c>
      <c r="AD6" s="3" t="s">
        <v>295</v>
      </c>
      <c r="AE6" s="3" t="s">
        <v>296</v>
      </c>
      <c r="AF6" s="3" t="s">
        <v>297</v>
      </c>
      <c r="AG6" s="3" t="s">
        <v>298</v>
      </c>
      <c r="AH6" s="3" t="s">
        <v>299</v>
      </c>
      <c r="AI6" s="3" t="s">
        <v>300</v>
      </c>
      <c r="AJ6" s="3" t="s">
        <v>301</v>
      </c>
      <c r="AK6" s="3" t="s">
        <v>302</v>
      </c>
      <c r="AL6" s="3" t="s">
        <v>303</v>
      </c>
      <c r="AM6" s="3" t="s">
        <v>304</v>
      </c>
      <c r="AN6" s="14" t="s">
        <v>305</v>
      </c>
      <c r="AO6" s="3" t="s">
        <v>306</v>
      </c>
      <c r="AP6" s="3" t="s">
        <v>307</v>
      </c>
      <c r="AQ6" s="3" t="s">
        <v>308</v>
      </c>
      <c r="AR6" s="3" t="s">
        <v>309</v>
      </c>
      <c r="AS6" s="3" t="s">
        <v>310</v>
      </c>
      <c r="AT6" s="3" t="s">
        <v>311</v>
      </c>
      <c r="AU6" s="3" t="s">
        <v>312</v>
      </c>
      <c r="AV6" s="3" t="s">
        <v>313</v>
      </c>
      <c r="AW6" s="14" t="s">
        <v>314</v>
      </c>
      <c r="AX6" s="14" t="s">
        <v>315</v>
      </c>
      <c r="AY6" s="4" t="s">
        <v>316</v>
      </c>
    </row>
    <row r="7" spans="1:51" x14ac:dyDescent="0.25">
      <c r="A7" t="s">
        <v>101</v>
      </c>
      <c r="B7" t="s">
        <v>102</v>
      </c>
      <c r="C7" t="s">
        <v>202</v>
      </c>
      <c r="D7" s="1">
        <f>VLOOKUP(A7,'BC ADM'!$A$3:$H$51,8,FALSE)</f>
        <v>54.13</v>
      </c>
      <c r="E7" s="1">
        <f>VLOOKUP(A7,'BC ADM'!$A$3:$G$51,7,FALSE)</f>
        <v>1020.0880560000001</v>
      </c>
      <c r="F7" s="1">
        <f>VLOOKUP(A7,'BC ADM'!$A$3:$I$51,9,FALSE)</f>
        <v>1042.3432290000001</v>
      </c>
      <c r="G7" s="7">
        <f>(($C$2*0.16)+$C$2+$C$1)</f>
        <v>96058.458900109545</v>
      </c>
      <c r="H7" s="7">
        <f>ROUND((D7*G7),2)</f>
        <v>5199644.38</v>
      </c>
      <c r="I7" s="1">
        <f>ROUND(MAX((F7/150),6),2)</f>
        <v>6.95</v>
      </c>
      <c r="J7" s="114">
        <f>I7*G7</f>
        <v>667606.28935576137</v>
      </c>
      <c r="K7">
        <f>90*1.16</f>
        <v>104.39999999999999</v>
      </c>
      <c r="L7" s="1">
        <f>(D7+I7)*K7*5</f>
        <v>31883.760000000002</v>
      </c>
      <c r="M7" s="7">
        <f>((D7+I7)*(($C$2+($C$2*0.16))/180)*4)</f>
        <v>107101.4438937487</v>
      </c>
      <c r="N7" s="7">
        <f>H7+J7+L7+M7</f>
        <v>6006235.8732495094</v>
      </c>
      <c r="O7" s="115">
        <f>ROUND(MAX((E7/360),1),2)</f>
        <v>2.83</v>
      </c>
      <c r="P7" s="9">
        <f>ROUND((O7*(($Q$1*1.16)+$C$1)),2)</f>
        <v>274111.7</v>
      </c>
      <c r="Q7">
        <f>ROUND(F7/1000,2)</f>
        <v>1.04</v>
      </c>
      <c r="R7" s="9">
        <f>ROUND((Q7*(($Q$2*1.16)+$C$1)),2)</f>
        <v>107189.39</v>
      </c>
      <c r="S7">
        <f>ROUND(F7/250,2)</f>
        <v>4.17</v>
      </c>
      <c r="T7" s="9">
        <f>(S7*(($Q$1*1.16)+$C$1))</f>
        <v>403903.10406799865</v>
      </c>
      <c r="U7" s="9">
        <f>($Q$3+$Q$4)*F7</f>
        <v>250474.82774632514</v>
      </c>
      <c r="V7" s="9">
        <f>$W$1*F7</f>
        <v>37731.292938358667</v>
      </c>
      <c r="W7" s="9">
        <f>$W$2*F7</f>
        <v>254130.01480081535</v>
      </c>
      <c r="X7" s="9">
        <f>$W$3*F7</f>
        <v>39087.871087500003</v>
      </c>
      <c r="Y7" s="9">
        <f>P7+R7+T7+U7+V7+W7+X7</f>
        <v>1366628.2006409978</v>
      </c>
      <c r="Z7" s="1">
        <f>IF(AND(F7&lt;=4000,F7&gt;=500),((F7-500)*((((160000*1.16)-(80000*1.16))/3500))+((80000*1.16)+$C$1)),IF(F7&lt;500,((80000*1.16)+$C$1),IF(F7&gt;4000,((160000*1.16)+$C$1),0)))</f>
        <v>124332.52332891428</v>
      </c>
      <c r="AA7" s="1">
        <f>IF(AND(F7&lt;=4000,F7&gt;=500),((F7-500)*((((130000*1.16)-(60000*1.16))/3500))+((60000*1.16)+$C$1)),IF(F7&lt;500,((60000*1.16)+$C$1),IF(F7&gt;4000,((130000*1.16)+$C$1),0)))</f>
        <v>99335.042912799996</v>
      </c>
      <c r="AB7">
        <f>ROUND($AH$2/$AH$1,5)</f>
        <v>0.81179000000000001</v>
      </c>
      <c r="AC7" s="116">
        <f>ROUND(MAX((F7/750),2),2)</f>
        <v>2</v>
      </c>
      <c r="AD7" s="7">
        <f>(((Z7-$C$1)*AB7)+$C$1)*AC7</f>
        <v>208320.41003195866</v>
      </c>
      <c r="AE7" s="117">
        <f>ROUND(MIN(AF7,35),2)</f>
        <v>2</v>
      </c>
      <c r="AF7" s="118">
        <f>MAX((F7/850),2)</f>
        <v>2</v>
      </c>
      <c r="AG7" s="9">
        <f>AE7*(($AC$2*1.16)+$C$1)</f>
        <v>149601.28389517107</v>
      </c>
      <c r="AH7" s="115">
        <f>MAX((F7/5000),1)</f>
        <v>1</v>
      </c>
      <c r="AI7" s="9">
        <f>AH7*(($AM$1*1.16)+$C$1)</f>
        <v>82081.329872402013</v>
      </c>
      <c r="AJ7" s="119">
        <f>(AC7+1)/3</f>
        <v>1</v>
      </c>
      <c r="AK7" s="119">
        <f>MAX(AJ7,1)</f>
        <v>1</v>
      </c>
      <c r="AL7" s="9">
        <f>AK7*(($AC$3*1.16)+$C$1)</f>
        <v>69739.021360782121</v>
      </c>
      <c r="AM7" s="9">
        <f>F7*$W$4</f>
        <v>32312.640099000004</v>
      </c>
      <c r="AN7" s="7">
        <f>Z7+AA7+AD7+AG7+AI7+AL7+AM7</f>
        <v>765722.25150102808</v>
      </c>
      <c r="AO7">
        <f>ROUND($AH$3/$AH$1,6)</f>
        <v>0.78961899999999996</v>
      </c>
      <c r="AP7" s="11">
        <f>ROUND(F7/450,2)</f>
        <v>2.3199999999999998</v>
      </c>
      <c r="AQ7" s="9">
        <f>ROUND((((Z7-$C$1)*AO7)+$C$1)*AP7,2)</f>
        <v>236138.7</v>
      </c>
      <c r="AR7" s="1">
        <f>F7/400</f>
        <v>2.6058580725000002</v>
      </c>
      <c r="AS7">
        <f>VLOOKUP(A7,'ADM Data'!$A$2:$T$50,20,FALSE)</f>
        <v>1</v>
      </c>
      <c r="AT7" s="9">
        <f>MIN((AS7*3),AR7)</f>
        <v>2.6058580725000002</v>
      </c>
      <c r="AU7" s="1">
        <f>IF(AR7&lt;AS7,(AS7*(($AM$2*1.16)+$C$1)),(AT7*(($AM$2*1.16)+$C$1)))</f>
        <v>148549.33697859268</v>
      </c>
      <c r="AV7" s="9">
        <f>($AU$2-$AU$1)*F7</f>
        <v>1440475.0536705945</v>
      </c>
      <c r="AW7" s="9">
        <f>AQ7+AU7+AV7</f>
        <v>1825163.0906491871</v>
      </c>
      <c r="AX7" s="7">
        <f>N7+Y7+AN7+AW7</f>
        <v>9963749.4160407223</v>
      </c>
      <c r="AY7">
        <f>T7/AX7</f>
        <v>4.0537260342753276E-2</v>
      </c>
    </row>
    <row r="8" spans="1:51" x14ac:dyDescent="0.25">
      <c r="A8" t="s">
        <v>103</v>
      </c>
      <c r="B8" t="s">
        <v>104</v>
      </c>
      <c r="C8" t="s">
        <v>203</v>
      </c>
      <c r="D8" s="1">
        <f>VLOOKUP(A8,'BC ADM'!$A$3:$H$51,8,FALSE)</f>
        <v>31.21</v>
      </c>
      <c r="E8" s="1">
        <f>VLOOKUP(A8,'BC ADM'!$A$3:$G$51,7,FALSE)</f>
        <v>501.18258700000001</v>
      </c>
      <c r="F8" s="1">
        <f>VLOOKUP(A8,'BC ADM'!$A$3:$I$51,9,FALSE)</f>
        <v>600.24709800000005</v>
      </c>
      <c r="G8" s="7">
        <f t="shared" ref="G8:G56" si="0">(($C$2*0.16)+$C$2+$C$1)</f>
        <v>96058.458900109545</v>
      </c>
      <c r="H8" s="7">
        <f t="shared" ref="H8:H55" si="1">ROUND((D8*G8),2)</f>
        <v>2997984.5</v>
      </c>
      <c r="I8" s="1">
        <f t="shared" ref="I8:I55" si="2">ROUND(MAX((F8/150),6),2)</f>
        <v>6</v>
      </c>
      <c r="J8" s="114">
        <f t="shared" ref="J8:J55" si="3">I8*G8</f>
        <v>576350.75340065733</v>
      </c>
      <c r="K8">
        <f t="shared" ref="K8:K56" si="4">90*1.16</f>
        <v>104.39999999999999</v>
      </c>
      <c r="L8" s="1">
        <f t="shared" ref="L8:L55" si="5">(D8+I8)*K8*5</f>
        <v>19423.62</v>
      </c>
      <c r="M8" s="7">
        <f t="shared" ref="M8:M55" si="6">((D8+I8)*(($C$2+($C$2*0.16))/180)*4)</f>
        <v>65246.311841623923</v>
      </c>
      <c r="N8" s="7">
        <f t="shared" ref="N8:N55" si="7">H8+J8+L8+M8</f>
        <v>3659005.1852422813</v>
      </c>
      <c r="O8" s="115">
        <f t="shared" ref="O8:O55" si="8">ROUND(MAX((E8/360),1),2)</f>
        <v>1.39</v>
      </c>
      <c r="P8" s="9">
        <f t="shared" ref="P8:P55" si="9">ROUND((O8*(($Q$1*1.16)+$C$1)),2)</f>
        <v>134634.37</v>
      </c>
      <c r="Q8">
        <f t="shared" ref="Q8:Q55" si="10">ROUND(F8/1000,2)</f>
        <v>0.6</v>
      </c>
      <c r="R8" s="9">
        <f t="shared" ref="R8:R55" si="11">ROUND((Q8*(($Q$2*1.16)+$C$1)),2)</f>
        <v>61840.03</v>
      </c>
      <c r="S8">
        <f t="shared" ref="S8:S55" si="12">ROUND(F8/250,2)</f>
        <v>2.4</v>
      </c>
      <c r="T8" s="9">
        <f t="shared" ref="T8:T55" si="13">(S8*(($Q$1*1.16)+$C$1))</f>
        <v>232462.2181686323</v>
      </c>
      <c r="U8" s="9">
        <f t="shared" ref="U8:U55" si="14">($Q$3+$Q$4)*F8</f>
        <v>144239.2335785793</v>
      </c>
      <c r="V8" s="9">
        <f t="shared" ref="V8:V55" si="15">$W$1*F8</f>
        <v>21728.062753154492</v>
      </c>
      <c r="W8" s="9">
        <f t="shared" ref="W8:W55" si="16">$W$2*F8</f>
        <v>146344.12125958796</v>
      </c>
      <c r="X8" s="9">
        <f t="shared" ref="X8:X55" si="17">$W$3*F8</f>
        <v>22509.266175000001</v>
      </c>
      <c r="Y8" s="9">
        <f t="shared" ref="Y8:Y55" si="18">P8+R8+T8+U8+V8+W8+X8</f>
        <v>763757.30193495401</v>
      </c>
      <c r="Z8" s="1">
        <f t="shared" ref="Z8:Z55" si="19">IF(AND(F8&lt;=4000,F8&gt;=500),((F8-500)*((((160000*1.16)-(80000*1.16))/3500))+((80000*1.16)+$C$1)),IF(F8&lt;500,((80000*1.16)+$C$1),IF(F8&gt;4000,((160000*1.16)+$C$1),0)))</f>
        <v>112610.6601984</v>
      </c>
      <c r="AA8" s="1">
        <f t="shared" ref="AA8:AA55" si="20">IF(AND(F8&lt;=4000,F8&gt;=500),((F8-500)*((((130000*1.16)-(60000*1.16))/3500))+((60000*1.16)+$C$1)),IF(F8&lt;500,((60000*1.16)+$C$1),IF(F8&gt;4000,((130000*1.16)+$C$1),0)))</f>
        <v>89078.412673599989</v>
      </c>
      <c r="AB8">
        <f t="shared" ref="AB8:AB55" si="21">ROUND($AH$2/$AH$1,5)</f>
        <v>0.81179000000000001</v>
      </c>
      <c r="AC8" s="116">
        <f t="shared" ref="AC8:AC55" si="22">ROUND(MAX((F8/750),2),2)</f>
        <v>2</v>
      </c>
      <c r="AD8" s="7">
        <f t="shared" ref="AD8:AD55" si="23">(((Z8-$C$1)*AB8)+$C$1)*AC8</f>
        <v>189289.02749051829</v>
      </c>
      <c r="AE8" s="117">
        <f t="shared" ref="AE8:AE55" si="24">ROUND(MIN(AF8,35),2)</f>
        <v>2</v>
      </c>
      <c r="AF8" s="118">
        <f t="shared" ref="AF8:AF55" si="25">MAX((F8/850),2)</f>
        <v>2</v>
      </c>
      <c r="AG8" s="9">
        <f t="shared" ref="AG8:AG55" si="26">AE8*(($AC$2*1.16)+$C$1)</f>
        <v>149601.28389517107</v>
      </c>
      <c r="AH8" s="115">
        <f t="shared" ref="AH8:AH55" si="27">MAX((F8/5000),1)</f>
        <v>1</v>
      </c>
      <c r="AI8" s="9">
        <f t="shared" ref="AI8:AI55" si="28">AH8*(($AM$1*1.16)+$C$1)</f>
        <v>82081.329872402013</v>
      </c>
      <c r="AJ8" s="119">
        <f t="shared" ref="AJ8:AJ55" si="29">(AC8+1)/3</f>
        <v>1</v>
      </c>
      <c r="AK8" s="119">
        <f t="shared" ref="AK8:AK55" si="30">MAX(AJ8,1)</f>
        <v>1</v>
      </c>
      <c r="AL8" s="9">
        <f t="shared" ref="AL8:AL55" si="31">AK8*(($AC$3*1.16)+$C$1)</f>
        <v>69739.021360782121</v>
      </c>
      <c r="AM8" s="9">
        <f t="shared" ref="AM8:AM55" si="32">F8*$W$4</f>
        <v>18607.660038000002</v>
      </c>
      <c r="AN8" s="7">
        <f t="shared" ref="AN8:AN55" si="33">Z8+AA8+AD8+AG8+AI8+AL8+AM8</f>
        <v>711007.39552887343</v>
      </c>
      <c r="AO8">
        <f t="shared" ref="AO8:AO55" si="34">ROUND($AH$3/$AH$1,6)</f>
        <v>0.78961899999999996</v>
      </c>
      <c r="AP8" s="11">
        <f t="shared" ref="AP8:AP55" si="35">ROUND(F8/450,2)</f>
        <v>1.33</v>
      </c>
      <c r="AQ8" s="9">
        <f t="shared" ref="AQ8:AQ55" si="36">ROUND((((Z8-$C$1)*AO8)+$C$1)*AP8,2)</f>
        <v>123062.39</v>
      </c>
      <c r="AR8" s="1">
        <f t="shared" ref="AR8:AR55" si="37">F8/400</f>
        <v>1.5006177450000002</v>
      </c>
      <c r="AS8">
        <f>VLOOKUP(A8,'ADM Data'!$A$2:$T$50,20,FALSE)</f>
        <v>1</v>
      </c>
      <c r="AT8" s="9">
        <f t="shared" ref="AT8:AT55" si="38">MIN((AS8*3),AR8)</f>
        <v>1.5006177450000002</v>
      </c>
      <c r="AU8" s="1">
        <f t="shared" ref="AU8:AU55" si="39">IF(AR8&lt;AS8,(AS8*(($AM$2*1.16)+$C$1)),(AT8*(($AM$2*1.16)+$C$1)))</f>
        <v>85544.095217818453</v>
      </c>
      <c r="AV8" s="9">
        <f t="shared" ref="AV8:AV55" si="40">($AU$2-$AU$1)*F8</f>
        <v>829516.56100523158</v>
      </c>
      <c r="AW8" s="9">
        <f t="shared" ref="AW8:AW55" si="41">AQ8+AU8+AV8</f>
        <v>1038123.04622305</v>
      </c>
      <c r="AX8" s="7">
        <f t="shared" ref="AX8:AX55" si="42">N8+Y8+AN8+AW8</f>
        <v>6171892.9289291585</v>
      </c>
      <c r="AY8">
        <f t="shared" ref="AY8:AY55" si="43">T8/AX8</f>
        <v>3.7664655049186861E-2</v>
      </c>
    </row>
    <row r="9" spans="1:51" x14ac:dyDescent="0.25">
      <c r="A9" t="s">
        <v>105</v>
      </c>
      <c r="B9" t="s">
        <v>106</v>
      </c>
      <c r="C9" t="s">
        <v>204</v>
      </c>
      <c r="D9" s="1">
        <f>VLOOKUP(A9,'BC ADM'!$A$3:$H$51,8,FALSE)</f>
        <v>36.630000000000003</v>
      </c>
      <c r="E9" s="1">
        <f>VLOOKUP(A9,'BC ADM'!$A$3:$G$51,7,FALSE)</f>
        <v>677.293004</v>
      </c>
      <c r="F9" s="1">
        <f>VLOOKUP(A9,'BC ADM'!$A$3:$I$51,9,FALSE)</f>
        <v>719.19131100000004</v>
      </c>
      <c r="G9" s="7">
        <f t="shared" si="0"/>
        <v>96058.458900109545</v>
      </c>
      <c r="H9" s="7">
        <f t="shared" si="1"/>
        <v>3518621.35</v>
      </c>
      <c r="I9" s="1">
        <f t="shared" si="2"/>
        <v>6</v>
      </c>
      <c r="J9" s="114">
        <f t="shared" si="3"/>
        <v>576350.75340065733</v>
      </c>
      <c r="K9">
        <f t="shared" si="4"/>
        <v>104.39999999999999</v>
      </c>
      <c r="L9" s="1">
        <f t="shared" si="5"/>
        <v>22252.86</v>
      </c>
      <c r="M9" s="7">
        <f t="shared" si="6"/>
        <v>74750.074544703777</v>
      </c>
      <c r="N9" s="7">
        <f t="shared" si="7"/>
        <v>4191975.0379453609</v>
      </c>
      <c r="O9" s="115">
        <f t="shared" si="8"/>
        <v>1.88</v>
      </c>
      <c r="P9" s="9">
        <f t="shared" si="9"/>
        <v>182095.4</v>
      </c>
      <c r="Q9">
        <f t="shared" si="10"/>
        <v>0.72</v>
      </c>
      <c r="R9" s="9">
        <f t="shared" si="11"/>
        <v>74208.039999999994</v>
      </c>
      <c r="S9">
        <f t="shared" si="12"/>
        <v>2.88</v>
      </c>
      <c r="T9" s="9">
        <f t="shared" si="13"/>
        <v>278954.66180235875</v>
      </c>
      <c r="U9" s="9">
        <f t="shared" si="14"/>
        <v>172821.49941358593</v>
      </c>
      <c r="V9" s="9">
        <f t="shared" si="15"/>
        <v>26033.668449208308</v>
      </c>
      <c r="W9" s="9">
        <f t="shared" si="16"/>
        <v>175343.48900063493</v>
      </c>
      <c r="X9" s="9">
        <f t="shared" si="17"/>
        <v>26969.674162500003</v>
      </c>
      <c r="Y9" s="9">
        <f t="shared" si="18"/>
        <v>936426.43282828771</v>
      </c>
      <c r="Z9" s="1">
        <f t="shared" si="19"/>
        <v>115764.38104594285</v>
      </c>
      <c r="AA9" s="1">
        <f t="shared" si="20"/>
        <v>91837.918415199994</v>
      </c>
      <c r="AB9">
        <f t="shared" si="21"/>
        <v>0.81179000000000001</v>
      </c>
      <c r="AC9" s="116">
        <f t="shared" si="22"/>
        <v>2</v>
      </c>
      <c r="AD9" s="7">
        <f t="shared" si="23"/>
        <v>194409.34558417188</v>
      </c>
      <c r="AE9" s="117">
        <f t="shared" si="24"/>
        <v>2</v>
      </c>
      <c r="AF9" s="118">
        <f t="shared" si="25"/>
        <v>2</v>
      </c>
      <c r="AG9" s="9">
        <f t="shared" si="26"/>
        <v>149601.28389517107</v>
      </c>
      <c r="AH9" s="115">
        <f t="shared" si="27"/>
        <v>1</v>
      </c>
      <c r="AI9" s="9">
        <f t="shared" si="28"/>
        <v>82081.329872402013</v>
      </c>
      <c r="AJ9" s="119">
        <f t="shared" si="29"/>
        <v>1</v>
      </c>
      <c r="AK9" s="119">
        <f t="shared" si="30"/>
        <v>1</v>
      </c>
      <c r="AL9" s="9">
        <f t="shared" si="31"/>
        <v>69739.021360782121</v>
      </c>
      <c r="AM9" s="9">
        <f t="shared" si="32"/>
        <v>22294.930641000003</v>
      </c>
      <c r="AN9" s="7">
        <f t="shared" si="33"/>
        <v>725728.21081466996</v>
      </c>
      <c r="AO9">
        <f t="shared" si="34"/>
        <v>0.78961899999999996</v>
      </c>
      <c r="AP9" s="11">
        <f t="shared" si="35"/>
        <v>1.6</v>
      </c>
      <c r="AQ9" s="9">
        <f t="shared" si="36"/>
        <v>152029.35999999999</v>
      </c>
      <c r="AR9" s="1">
        <f t="shared" si="37"/>
        <v>1.7979782775000002</v>
      </c>
      <c r="AS9">
        <f>VLOOKUP(A9,'ADM Data'!$A$2:$T$50,20,FALSE)</f>
        <v>1</v>
      </c>
      <c r="AT9" s="9">
        <f t="shared" si="38"/>
        <v>1.7979782775000002</v>
      </c>
      <c r="AU9" s="1">
        <f t="shared" si="39"/>
        <v>102495.40596364813</v>
      </c>
      <c r="AV9" s="9">
        <f t="shared" si="40"/>
        <v>993892.5235846187</v>
      </c>
      <c r="AW9" s="9">
        <f t="shared" si="41"/>
        <v>1248417.2895482667</v>
      </c>
      <c r="AX9" s="7">
        <f t="shared" si="42"/>
        <v>7102546.9711365849</v>
      </c>
      <c r="AY9">
        <f t="shared" si="43"/>
        <v>3.9275299823567242E-2</v>
      </c>
    </row>
    <row r="10" spans="1:51" x14ac:dyDescent="0.25">
      <c r="A10" t="s">
        <v>107</v>
      </c>
      <c r="B10" t="s">
        <v>108</v>
      </c>
      <c r="C10" t="s">
        <v>205</v>
      </c>
      <c r="D10" s="1">
        <f>VLOOKUP(A10,'BC ADM'!$A$3:$H$51,8,FALSE)</f>
        <v>26.91</v>
      </c>
      <c r="E10" s="1">
        <f>VLOOKUP(A10,'BC ADM'!$A$3:$G$51,7,FALSE)</f>
        <v>482.23393800000002</v>
      </c>
      <c r="F10" s="1">
        <f>VLOOKUP(A10,'BC ADM'!$A$3:$I$51,9,FALSE)</f>
        <v>503.60129699999999</v>
      </c>
      <c r="G10" s="7">
        <f t="shared" si="0"/>
        <v>96058.458900109545</v>
      </c>
      <c r="H10" s="7">
        <f t="shared" si="1"/>
        <v>2584933.13</v>
      </c>
      <c r="I10" s="1">
        <f t="shared" si="2"/>
        <v>6</v>
      </c>
      <c r="J10" s="114">
        <f t="shared" si="3"/>
        <v>576350.75340065733</v>
      </c>
      <c r="K10">
        <f t="shared" si="4"/>
        <v>104.39999999999999</v>
      </c>
      <c r="L10" s="1">
        <f t="shared" si="5"/>
        <v>17179.019999999997</v>
      </c>
      <c r="M10" s="7">
        <f t="shared" si="6"/>
        <v>57706.42630228011</v>
      </c>
      <c r="N10" s="7">
        <f t="shared" si="7"/>
        <v>3236169.3297029375</v>
      </c>
      <c r="O10" s="115">
        <f t="shared" si="8"/>
        <v>1.34</v>
      </c>
      <c r="P10" s="9">
        <f t="shared" si="9"/>
        <v>129791.41</v>
      </c>
      <c r="Q10">
        <f t="shared" si="10"/>
        <v>0.5</v>
      </c>
      <c r="R10" s="9">
        <f t="shared" si="11"/>
        <v>51533.36</v>
      </c>
      <c r="S10">
        <f t="shared" si="12"/>
        <v>2.0099999999999998</v>
      </c>
      <c r="T10" s="9">
        <f t="shared" si="13"/>
        <v>194687.10771622954</v>
      </c>
      <c r="U10" s="9">
        <f t="shared" si="14"/>
        <v>121015.27079512589</v>
      </c>
      <c r="V10" s="9">
        <f t="shared" si="15"/>
        <v>18229.62679910531</v>
      </c>
      <c r="W10" s="9">
        <f t="shared" si="16"/>
        <v>122781.25045538123</v>
      </c>
      <c r="X10" s="9">
        <f t="shared" si="17"/>
        <v>18885.0486375</v>
      </c>
      <c r="Y10" s="9">
        <f t="shared" si="18"/>
        <v>656923.07440334198</v>
      </c>
      <c r="Z10" s="1">
        <f t="shared" si="19"/>
        <v>110048.16581759999</v>
      </c>
      <c r="AA10" s="1">
        <f t="shared" si="20"/>
        <v>86836.230090399986</v>
      </c>
      <c r="AB10">
        <f t="shared" si="21"/>
        <v>0.81179000000000001</v>
      </c>
      <c r="AC10" s="116">
        <f t="shared" si="22"/>
        <v>2</v>
      </c>
      <c r="AD10" s="7">
        <f t="shared" si="23"/>
        <v>185128.61286373896</v>
      </c>
      <c r="AE10" s="117">
        <f t="shared" si="24"/>
        <v>2</v>
      </c>
      <c r="AF10" s="118">
        <f t="shared" si="25"/>
        <v>2</v>
      </c>
      <c r="AG10" s="9">
        <f t="shared" si="26"/>
        <v>149601.28389517107</v>
      </c>
      <c r="AH10" s="115">
        <f t="shared" si="27"/>
        <v>1</v>
      </c>
      <c r="AI10" s="9">
        <f t="shared" si="28"/>
        <v>82081.329872402013</v>
      </c>
      <c r="AJ10" s="119">
        <f t="shared" si="29"/>
        <v>1</v>
      </c>
      <c r="AK10" s="119">
        <f t="shared" si="30"/>
        <v>1</v>
      </c>
      <c r="AL10" s="9">
        <f t="shared" si="31"/>
        <v>69739.021360782121</v>
      </c>
      <c r="AM10" s="9">
        <f t="shared" si="32"/>
        <v>15611.640207</v>
      </c>
      <c r="AN10" s="7">
        <f t="shared" si="33"/>
        <v>699046.28410709405</v>
      </c>
      <c r="AO10">
        <f t="shared" si="34"/>
        <v>0.78961899999999996</v>
      </c>
      <c r="AP10" s="11">
        <f t="shared" si="35"/>
        <v>1.1200000000000001</v>
      </c>
      <c r="AQ10" s="9">
        <f t="shared" si="36"/>
        <v>101365.29</v>
      </c>
      <c r="AR10" s="1">
        <f t="shared" si="37"/>
        <v>1.2590032425</v>
      </c>
      <c r="AS10">
        <f>VLOOKUP(A10,'ADM Data'!$A$2:$T$50,20,FALSE)</f>
        <v>2</v>
      </c>
      <c r="AT10" s="9">
        <f t="shared" si="38"/>
        <v>1.2590032425</v>
      </c>
      <c r="AU10" s="1">
        <f t="shared" si="39"/>
        <v>114011.84012763816</v>
      </c>
      <c r="AV10" s="9">
        <f t="shared" si="40"/>
        <v>695956.07775052369</v>
      </c>
      <c r="AW10" s="9">
        <f t="shared" si="41"/>
        <v>911333.20787816192</v>
      </c>
      <c r="AX10" s="7">
        <f t="shared" si="42"/>
        <v>5503471.8960915357</v>
      </c>
      <c r="AY10">
        <f t="shared" si="43"/>
        <v>3.5375325138753362E-2</v>
      </c>
    </row>
    <row r="11" spans="1:51" x14ac:dyDescent="0.25">
      <c r="A11" t="s">
        <v>109</v>
      </c>
      <c r="B11" t="s">
        <v>110</v>
      </c>
      <c r="C11" t="s">
        <v>206</v>
      </c>
      <c r="D11" s="1">
        <f>VLOOKUP(A11,'BC ADM'!$A$3:$H$51,8,FALSE)</f>
        <v>196.11</v>
      </c>
      <c r="E11" s="1">
        <f>VLOOKUP(A11,'BC ADM'!$A$3:$G$51,7,FALSE)</f>
        <v>3481.1138999999998</v>
      </c>
      <c r="F11" s="1">
        <f>VLOOKUP(A11,'BC ADM'!$A$3:$I$51,9,FALSE)</f>
        <v>3907.6085269999999</v>
      </c>
      <c r="G11" s="7">
        <f t="shared" si="0"/>
        <v>96058.458900109545</v>
      </c>
      <c r="H11" s="7">
        <f t="shared" si="1"/>
        <v>18838024.370000001</v>
      </c>
      <c r="I11" s="1">
        <f t="shared" si="2"/>
        <v>26.05</v>
      </c>
      <c r="J11" s="114">
        <f t="shared" si="3"/>
        <v>2502322.8543478539</v>
      </c>
      <c r="K11">
        <f t="shared" si="4"/>
        <v>104.39999999999999</v>
      </c>
      <c r="L11" s="1">
        <f t="shared" si="5"/>
        <v>115967.52</v>
      </c>
      <c r="M11" s="7">
        <f t="shared" si="6"/>
        <v>389549.06312107423</v>
      </c>
      <c r="N11" s="7">
        <f t="shared" si="7"/>
        <v>21845863.807468928</v>
      </c>
      <c r="O11" s="115">
        <f t="shared" si="8"/>
        <v>9.67</v>
      </c>
      <c r="P11" s="9">
        <f t="shared" si="9"/>
        <v>936629.02</v>
      </c>
      <c r="Q11">
        <f t="shared" si="10"/>
        <v>3.91</v>
      </c>
      <c r="R11" s="9">
        <f t="shared" si="11"/>
        <v>402990.89</v>
      </c>
      <c r="S11">
        <f t="shared" si="12"/>
        <v>15.63</v>
      </c>
      <c r="T11" s="9">
        <f t="shared" si="13"/>
        <v>1513910.195823218</v>
      </c>
      <c r="U11" s="9">
        <f t="shared" si="14"/>
        <v>938997.39113707643</v>
      </c>
      <c r="V11" s="9">
        <f t="shared" si="15"/>
        <v>141449.68559167875</v>
      </c>
      <c r="W11" s="9">
        <f t="shared" si="16"/>
        <v>952700.20965647022</v>
      </c>
      <c r="X11" s="9">
        <f t="shared" si="17"/>
        <v>146535.3197625</v>
      </c>
      <c r="Y11" s="9">
        <f t="shared" si="18"/>
        <v>5033212.711970943</v>
      </c>
      <c r="Z11" s="1">
        <f t="shared" si="19"/>
        <v>200302.98608731426</v>
      </c>
      <c r="AA11" s="1">
        <f t="shared" si="20"/>
        <v>165809.19782639999</v>
      </c>
      <c r="AB11">
        <f t="shared" si="21"/>
        <v>0.81179000000000001</v>
      </c>
      <c r="AC11" s="116">
        <f t="shared" si="22"/>
        <v>5.21</v>
      </c>
      <c r="AD11" s="7">
        <f t="shared" si="23"/>
        <v>863986.11095861462</v>
      </c>
      <c r="AE11" s="117">
        <f t="shared" si="24"/>
        <v>4.5999999999999996</v>
      </c>
      <c r="AF11" s="118">
        <f t="shared" si="25"/>
        <v>4.5971865023529412</v>
      </c>
      <c r="AG11" s="9">
        <f t="shared" si="26"/>
        <v>344082.95295889344</v>
      </c>
      <c r="AH11" s="115">
        <f t="shared" si="27"/>
        <v>1</v>
      </c>
      <c r="AI11" s="9">
        <f t="shared" si="28"/>
        <v>82081.329872402013</v>
      </c>
      <c r="AJ11" s="119">
        <f t="shared" si="29"/>
        <v>2.0699999999999998</v>
      </c>
      <c r="AK11" s="119">
        <f t="shared" si="30"/>
        <v>2.0699999999999998</v>
      </c>
      <c r="AL11" s="9">
        <f t="shared" si="31"/>
        <v>144359.77421681897</v>
      </c>
      <c r="AM11" s="9">
        <f t="shared" si="32"/>
        <v>121135.86433699999</v>
      </c>
      <c r="AN11" s="7">
        <f t="shared" si="33"/>
        <v>1921758.2162574437</v>
      </c>
      <c r="AO11">
        <f t="shared" si="34"/>
        <v>0.78961899999999996</v>
      </c>
      <c r="AP11" s="11">
        <f t="shared" si="35"/>
        <v>8.68</v>
      </c>
      <c r="AQ11" s="9">
        <f t="shared" si="36"/>
        <v>1404177.85</v>
      </c>
      <c r="AR11" s="1">
        <f t="shared" si="37"/>
        <v>9.7690213175</v>
      </c>
      <c r="AS11">
        <f>VLOOKUP(A11,'ADM Data'!$A$2:$T$50,20,FALSE)</f>
        <v>4</v>
      </c>
      <c r="AT11" s="9">
        <f t="shared" si="38"/>
        <v>9.7690213175</v>
      </c>
      <c r="AU11" s="1">
        <f t="shared" si="39"/>
        <v>556892.04832714959</v>
      </c>
      <c r="AV11" s="9">
        <f t="shared" si="40"/>
        <v>5400152.7002330599</v>
      </c>
      <c r="AW11" s="9">
        <f t="shared" si="41"/>
        <v>7361222.5985602094</v>
      </c>
      <c r="AX11" s="7">
        <f t="shared" si="42"/>
        <v>36162057.334257521</v>
      </c>
      <c r="AY11">
        <f t="shared" si="43"/>
        <v>4.1864603604536636E-2</v>
      </c>
    </row>
    <row r="12" spans="1:51" x14ac:dyDescent="0.25">
      <c r="A12" t="s">
        <v>111</v>
      </c>
      <c r="B12" t="s">
        <v>112</v>
      </c>
      <c r="C12" t="s">
        <v>207</v>
      </c>
      <c r="D12" s="1">
        <f>VLOOKUP(A12,'BC ADM'!$A$3:$H$51,8,FALSE)</f>
        <v>16.809999999999999</v>
      </c>
      <c r="E12" s="1">
        <f>VLOOKUP(A12,'BC ADM'!$A$3:$G$51,7,FALSE)</f>
        <v>314.68025599999999</v>
      </c>
      <c r="F12" s="1">
        <f>VLOOKUP(A12,'BC ADM'!$A$3:$I$51,9,FALSE)</f>
        <v>314.68025599999999</v>
      </c>
      <c r="G12" s="7">
        <f t="shared" si="0"/>
        <v>96058.458900109545</v>
      </c>
      <c r="H12" s="7">
        <f t="shared" si="1"/>
        <v>1614742.69</v>
      </c>
      <c r="I12" s="1">
        <f t="shared" si="2"/>
        <v>6</v>
      </c>
      <c r="J12" s="114">
        <f t="shared" si="3"/>
        <v>576350.75340065733</v>
      </c>
      <c r="K12">
        <f t="shared" si="4"/>
        <v>104.39999999999999</v>
      </c>
      <c r="L12" s="1">
        <f t="shared" si="5"/>
        <v>11906.819999999998</v>
      </c>
      <c r="M12" s="7">
        <f t="shared" si="6"/>
        <v>39996.462593588862</v>
      </c>
      <c r="N12" s="7">
        <f t="shared" si="7"/>
        <v>2242996.7259942461</v>
      </c>
      <c r="O12" s="115">
        <f t="shared" si="8"/>
        <v>1</v>
      </c>
      <c r="P12" s="9">
        <f t="shared" si="9"/>
        <v>96859.26</v>
      </c>
      <c r="Q12">
        <f t="shared" si="10"/>
        <v>0.31</v>
      </c>
      <c r="R12" s="9">
        <f t="shared" si="11"/>
        <v>31950.68</v>
      </c>
      <c r="S12">
        <f t="shared" si="12"/>
        <v>1.26</v>
      </c>
      <c r="T12" s="9">
        <f t="shared" si="13"/>
        <v>122042.66453853197</v>
      </c>
      <c r="U12" s="9">
        <f t="shared" si="14"/>
        <v>75617.589987500643</v>
      </c>
      <c r="V12" s="9">
        <f t="shared" si="15"/>
        <v>11390.962775711278</v>
      </c>
      <c r="W12" s="9">
        <f t="shared" si="16"/>
        <v>76721.07986111776</v>
      </c>
      <c r="X12" s="9">
        <f t="shared" si="17"/>
        <v>11800.509599999999</v>
      </c>
      <c r="Y12" s="9">
        <f t="shared" si="18"/>
        <v>426382.74676286161</v>
      </c>
      <c r="Z12" s="1">
        <f t="shared" si="19"/>
        <v>109952.68</v>
      </c>
      <c r="AA12" s="1">
        <f t="shared" si="20"/>
        <v>86752.68</v>
      </c>
      <c r="AB12">
        <f t="shared" si="21"/>
        <v>0.81179000000000001</v>
      </c>
      <c r="AC12" s="116">
        <f t="shared" si="22"/>
        <v>2</v>
      </c>
      <c r="AD12" s="7">
        <f t="shared" si="23"/>
        <v>184973.58400000003</v>
      </c>
      <c r="AE12" s="117">
        <f t="shared" si="24"/>
        <v>2</v>
      </c>
      <c r="AF12" s="118">
        <f t="shared" si="25"/>
        <v>2</v>
      </c>
      <c r="AG12" s="9">
        <f t="shared" si="26"/>
        <v>149601.28389517107</v>
      </c>
      <c r="AH12" s="115">
        <f t="shared" si="27"/>
        <v>1</v>
      </c>
      <c r="AI12" s="9">
        <f t="shared" si="28"/>
        <v>82081.329872402013</v>
      </c>
      <c r="AJ12" s="119">
        <f t="shared" si="29"/>
        <v>1</v>
      </c>
      <c r="AK12" s="119">
        <f t="shared" si="30"/>
        <v>1</v>
      </c>
      <c r="AL12" s="9">
        <f t="shared" si="31"/>
        <v>69739.021360782121</v>
      </c>
      <c r="AM12" s="9">
        <f t="shared" si="32"/>
        <v>9755.0879359999999</v>
      </c>
      <c r="AN12" s="7">
        <f t="shared" si="33"/>
        <v>692855.66706435522</v>
      </c>
      <c r="AO12">
        <f t="shared" si="34"/>
        <v>0.78961899999999996</v>
      </c>
      <c r="AP12" s="11">
        <f t="shared" si="35"/>
        <v>0.7</v>
      </c>
      <c r="AQ12" s="9">
        <f t="shared" si="36"/>
        <v>63300.53</v>
      </c>
      <c r="AR12" s="1">
        <f t="shared" si="37"/>
        <v>0.78670063999999995</v>
      </c>
      <c r="AS12">
        <f>VLOOKUP(A12,'ADM Data'!$A$2:$T$50,20,FALSE)</f>
        <v>1</v>
      </c>
      <c r="AT12" s="9">
        <f t="shared" si="38"/>
        <v>0.78670063999999995</v>
      </c>
      <c r="AU12" s="1">
        <f t="shared" si="39"/>
        <v>57005.920063819081</v>
      </c>
      <c r="AV12" s="9">
        <f t="shared" si="40"/>
        <v>434875.04503248067</v>
      </c>
      <c r="AW12" s="9">
        <f t="shared" si="41"/>
        <v>555181.4950962998</v>
      </c>
      <c r="AX12" s="7">
        <f t="shared" si="42"/>
        <v>3917416.6349177626</v>
      </c>
      <c r="AY12">
        <f t="shared" si="43"/>
        <v>3.1153863862911274E-2</v>
      </c>
    </row>
    <row r="13" spans="1:51" x14ac:dyDescent="0.25">
      <c r="A13" t="s">
        <v>113</v>
      </c>
      <c r="B13" t="s">
        <v>114</v>
      </c>
      <c r="C13" t="s">
        <v>208</v>
      </c>
      <c r="D13" s="1">
        <f>VLOOKUP(A13,'BC ADM'!$A$3:$H$51,8,FALSE)</f>
        <v>23.07</v>
      </c>
      <c r="E13" s="1">
        <f>VLOOKUP(A13,'BC ADM'!$A$3:$G$51,7,FALSE)</f>
        <v>443.89503000000002</v>
      </c>
      <c r="F13" s="1">
        <f>VLOOKUP(A13,'BC ADM'!$A$3:$I$51,9,FALSE)</f>
        <v>443.89503000000002</v>
      </c>
      <c r="G13" s="7">
        <f t="shared" si="0"/>
        <v>96058.458900109545</v>
      </c>
      <c r="H13" s="7">
        <f t="shared" si="1"/>
        <v>2216068.65</v>
      </c>
      <c r="I13" s="1">
        <f t="shared" si="2"/>
        <v>6</v>
      </c>
      <c r="J13" s="114">
        <f t="shared" si="3"/>
        <v>576350.75340065733</v>
      </c>
      <c r="K13">
        <f t="shared" si="4"/>
        <v>104.39999999999999</v>
      </c>
      <c r="L13" s="1">
        <f t="shared" si="5"/>
        <v>15174.539999999999</v>
      </c>
      <c r="M13" s="7">
        <f t="shared" si="6"/>
        <v>50973.13316947077</v>
      </c>
      <c r="N13" s="7">
        <f t="shared" si="7"/>
        <v>2858567.0765701281</v>
      </c>
      <c r="O13" s="115">
        <f t="shared" si="8"/>
        <v>1.23</v>
      </c>
      <c r="P13" s="9">
        <f t="shared" si="9"/>
        <v>119136.89</v>
      </c>
      <c r="Q13">
        <f t="shared" si="10"/>
        <v>0.44</v>
      </c>
      <c r="R13" s="9">
        <f t="shared" si="11"/>
        <v>45349.36</v>
      </c>
      <c r="S13">
        <f t="shared" si="12"/>
        <v>1.78</v>
      </c>
      <c r="T13" s="9">
        <f t="shared" si="13"/>
        <v>172409.47847506896</v>
      </c>
      <c r="U13" s="9">
        <f t="shared" si="14"/>
        <v>106667.8691656756</v>
      </c>
      <c r="V13" s="9">
        <f t="shared" si="15"/>
        <v>16068.347685128492</v>
      </c>
      <c r="W13" s="9">
        <f t="shared" si="16"/>
        <v>108224.47674182414</v>
      </c>
      <c r="X13" s="9">
        <f t="shared" si="17"/>
        <v>16646.063625000003</v>
      </c>
      <c r="Y13" s="9">
        <f t="shared" si="18"/>
        <v>584502.48569269711</v>
      </c>
      <c r="Z13" s="1">
        <f t="shared" si="19"/>
        <v>109952.68</v>
      </c>
      <c r="AA13" s="1">
        <f t="shared" si="20"/>
        <v>86752.68</v>
      </c>
      <c r="AB13">
        <f t="shared" si="21"/>
        <v>0.81179000000000001</v>
      </c>
      <c r="AC13" s="116">
        <f t="shared" si="22"/>
        <v>2</v>
      </c>
      <c r="AD13" s="7">
        <f t="shared" si="23"/>
        <v>184973.58400000003</v>
      </c>
      <c r="AE13" s="117">
        <f t="shared" si="24"/>
        <v>2</v>
      </c>
      <c r="AF13" s="118">
        <f t="shared" si="25"/>
        <v>2</v>
      </c>
      <c r="AG13" s="9">
        <f t="shared" si="26"/>
        <v>149601.28389517107</v>
      </c>
      <c r="AH13" s="115">
        <f t="shared" si="27"/>
        <v>1</v>
      </c>
      <c r="AI13" s="9">
        <f t="shared" si="28"/>
        <v>82081.329872402013</v>
      </c>
      <c r="AJ13" s="119">
        <f t="shared" si="29"/>
        <v>1</v>
      </c>
      <c r="AK13" s="119">
        <f t="shared" si="30"/>
        <v>1</v>
      </c>
      <c r="AL13" s="9">
        <f t="shared" si="31"/>
        <v>69739.021360782121</v>
      </c>
      <c r="AM13" s="9">
        <f t="shared" si="32"/>
        <v>13760.745930000001</v>
      </c>
      <c r="AN13" s="7">
        <f t="shared" si="33"/>
        <v>696861.32505835523</v>
      </c>
      <c r="AO13">
        <f t="shared" si="34"/>
        <v>0.78961899999999996</v>
      </c>
      <c r="AP13" s="11">
        <f t="shared" si="35"/>
        <v>0.99</v>
      </c>
      <c r="AQ13" s="9">
        <f t="shared" si="36"/>
        <v>89525.03</v>
      </c>
      <c r="AR13" s="1">
        <f t="shared" si="37"/>
        <v>1.109737575</v>
      </c>
      <c r="AS13">
        <f>VLOOKUP(A13,'ADM Data'!$A$2:$T$50,20,FALSE)</f>
        <v>1</v>
      </c>
      <c r="AT13" s="9">
        <f t="shared" si="38"/>
        <v>1.109737575</v>
      </c>
      <c r="AU13" s="1">
        <f t="shared" si="39"/>
        <v>63261.611492266435</v>
      </c>
      <c r="AV13" s="9">
        <f t="shared" si="40"/>
        <v>613444.49637458159</v>
      </c>
      <c r="AW13" s="9">
        <f t="shared" si="41"/>
        <v>766231.13786684803</v>
      </c>
      <c r="AX13" s="7">
        <f t="shared" si="42"/>
        <v>4906162.0251880288</v>
      </c>
      <c r="AY13">
        <f t="shared" si="43"/>
        <v>3.5141415548431948E-2</v>
      </c>
    </row>
    <row r="14" spans="1:51" x14ac:dyDescent="0.25">
      <c r="A14" t="s">
        <v>115</v>
      </c>
      <c r="B14" t="s">
        <v>116</v>
      </c>
      <c r="C14" t="s">
        <v>208</v>
      </c>
      <c r="D14" s="1">
        <f>VLOOKUP(A14,'BC ADM'!$A$3:$H$51,8,FALSE)</f>
        <v>34.17</v>
      </c>
      <c r="E14" s="1">
        <f>VLOOKUP(A14,'BC ADM'!$A$3:$G$51,7,FALSE)</f>
        <v>616.08671200000003</v>
      </c>
      <c r="F14" s="1">
        <f>VLOOKUP(A14,'BC ADM'!$A$3:$I$51,9,FALSE)</f>
        <v>709.83504000000005</v>
      </c>
      <c r="G14" s="7">
        <f t="shared" si="0"/>
        <v>96058.458900109545</v>
      </c>
      <c r="H14" s="7">
        <f t="shared" si="1"/>
        <v>3282317.54</v>
      </c>
      <c r="I14" s="1">
        <f t="shared" si="2"/>
        <v>6</v>
      </c>
      <c r="J14" s="114">
        <f t="shared" si="3"/>
        <v>576350.75340065733</v>
      </c>
      <c r="K14">
        <f t="shared" si="4"/>
        <v>104.39999999999999</v>
      </c>
      <c r="L14" s="1">
        <f t="shared" si="5"/>
        <v>20968.739999999998</v>
      </c>
      <c r="M14" s="7">
        <f t="shared" si="6"/>
        <v>70436.558631497799</v>
      </c>
      <c r="N14" s="7">
        <f t="shared" si="7"/>
        <v>3950073.5920321555</v>
      </c>
      <c r="O14" s="115">
        <f t="shared" si="8"/>
        <v>1.71</v>
      </c>
      <c r="P14" s="9">
        <f t="shared" si="9"/>
        <v>165629.32999999999</v>
      </c>
      <c r="Q14">
        <f t="shared" si="10"/>
        <v>0.71</v>
      </c>
      <c r="R14" s="9">
        <f t="shared" si="11"/>
        <v>73177.37</v>
      </c>
      <c r="S14">
        <f t="shared" si="12"/>
        <v>2.84</v>
      </c>
      <c r="T14" s="9">
        <f t="shared" si="13"/>
        <v>275080.29149954824</v>
      </c>
      <c r="U14" s="9">
        <f t="shared" si="14"/>
        <v>170573.18973797048</v>
      </c>
      <c r="V14" s="9">
        <f t="shared" si="15"/>
        <v>25694.985190095711</v>
      </c>
      <c r="W14" s="9">
        <f t="shared" si="16"/>
        <v>173062.36967107249</v>
      </c>
      <c r="X14" s="9">
        <f t="shared" si="17"/>
        <v>26618.814000000002</v>
      </c>
      <c r="Y14" s="9">
        <f t="shared" si="18"/>
        <v>909836.35009868687</v>
      </c>
      <c r="Z14" s="1">
        <f t="shared" si="19"/>
        <v>115516.30620342857</v>
      </c>
      <c r="AA14" s="1">
        <f t="shared" si="20"/>
        <v>91620.852927999993</v>
      </c>
      <c r="AB14">
        <f t="shared" si="21"/>
        <v>0.81179000000000001</v>
      </c>
      <c r="AC14" s="116">
        <f t="shared" si="22"/>
        <v>2</v>
      </c>
      <c r="AD14" s="7">
        <f t="shared" si="23"/>
        <v>194006.57623136259</v>
      </c>
      <c r="AE14" s="117">
        <f t="shared" si="24"/>
        <v>2</v>
      </c>
      <c r="AF14" s="118">
        <f t="shared" si="25"/>
        <v>2</v>
      </c>
      <c r="AG14" s="9">
        <f t="shared" si="26"/>
        <v>149601.28389517107</v>
      </c>
      <c r="AH14" s="115">
        <f t="shared" si="27"/>
        <v>1</v>
      </c>
      <c r="AI14" s="9">
        <f t="shared" si="28"/>
        <v>82081.329872402013</v>
      </c>
      <c r="AJ14" s="119">
        <f t="shared" si="29"/>
        <v>1</v>
      </c>
      <c r="AK14" s="119">
        <f t="shared" si="30"/>
        <v>1</v>
      </c>
      <c r="AL14" s="9">
        <f t="shared" si="31"/>
        <v>69739.021360782121</v>
      </c>
      <c r="AM14" s="9">
        <f t="shared" si="32"/>
        <v>22004.88624</v>
      </c>
      <c r="AN14" s="7">
        <f t="shared" si="33"/>
        <v>724570.25673114636</v>
      </c>
      <c r="AO14">
        <f t="shared" si="34"/>
        <v>0.78961899999999996</v>
      </c>
      <c r="AP14" s="11">
        <f t="shared" si="35"/>
        <v>1.58</v>
      </c>
      <c r="AQ14" s="9">
        <f t="shared" si="36"/>
        <v>149819.5</v>
      </c>
      <c r="AR14" s="1">
        <f t="shared" si="37"/>
        <v>1.7745876</v>
      </c>
      <c r="AS14">
        <f>VLOOKUP(A14,'ADM Data'!$A$2:$T$50,20,FALSE)</f>
        <v>1</v>
      </c>
      <c r="AT14" s="9">
        <f t="shared" si="38"/>
        <v>1.7745876</v>
      </c>
      <c r="AU14" s="1">
        <f t="shared" si="39"/>
        <v>101161.99887184455</v>
      </c>
      <c r="AV14" s="9">
        <f t="shared" si="40"/>
        <v>980962.54563118436</v>
      </c>
      <c r="AW14" s="9">
        <f t="shared" si="41"/>
        <v>1231944.044503029</v>
      </c>
      <c r="AX14" s="7">
        <f t="shared" si="42"/>
        <v>6816424.2433650177</v>
      </c>
      <c r="AY14">
        <f t="shared" si="43"/>
        <v>4.0355512168613383E-2</v>
      </c>
    </row>
    <row r="15" spans="1:51" x14ac:dyDescent="0.25">
      <c r="A15" t="s">
        <v>117</v>
      </c>
      <c r="B15" t="s">
        <v>118</v>
      </c>
      <c r="C15" t="s">
        <v>209</v>
      </c>
      <c r="D15" s="1">
        <f>VLOOKUP(A15,'BC ADM'!$A$3:$H$51,8,FALSE)</f>
        <v>53.14</v>
      </c>
      <c r="E15" s="1">
        <f>VLOOKUP(A15,'BC ADM'!$A$3:$G$51,7,FALSE)</f>
        <v>1002.65284</v>
      </c>
      <c r="F15" s="1">
        <f>VLOOKUP(A15,'BC ADM'!$A$3:$I$51,9,FALSE)</f>
        <v>1019.99215</v>
      </c>
      <c r="G15" s="7">
        <f t="shared" si="0"/>
        <v>96058.458900109545</v>
      </c>
      <c r="H15" s="7">
        <f t="shared" si="1"/>
        <v>5104546.51</v>
      </c>
      <c r="I15" s="1">
        <f t="shared" si="2"/>
        <v>6.8</v>
      </c>
      <c r="J15" s="114">
        <f t="shared" si="3"/>
        <v>653197.52052074485</v>
      </c>
      <c r="K15">
        <f t="shared" si="4"/>
        <v>104.39999999999999</v>
      </c>
      <c r="L15" s="1">
        <f t="shared" si="5"/>
        <v>31288.679999999993</v>
      </c>
      <c r="M15" s="7">
        <f t="shared" si="6"/>
        <v>105102.49749494591</v>
      </c>
      <c r="N15" s="7">
        <f t="shared" si="7"/>
        <v>5894135.2080156906</v>
      </c>
      <c r="O15" s="115">
        <f t="shared" si="8"/>
        <v>2.79</v>
      </c>
      <c r="P15" s="9">
        <f t="shared" si="9"/>
        <v>270237.33</v>
      </c>
      <c r="Q15">
        <f t="shared" si="10"/>
        <v>1.02</v>
      </c>
      <c r="R15" s="9">
        <f t="shared" si="11"/>
        <v>105128.06</v>
      </c>
      <c r="S15">
        <f t="shared" si="12"/>
        <v>4.08</v>
      </c>
      <c r="T15" s="9">
        <f t="shared" si="13"/>
        <v>395185.77088667493</v>
      </c>
      <c r="U15" s="9">
        <f t="shared" si="14"/>
        <v>245103.86882731295</v>
      </c>
      <c r="V15" s="9">
        <f t="shared" si="15"/>
        <v>36922.216728359708</v>
      </c>
      <c r="W15" s="9">
        <f t="shared" si="16"/>
        <v>248680.67730904353</v>
      </c>
      <c r="X15" s="9">
        <f t="shared" si="17"/>
        <v>38249.705625000002</v>
      </c>
      <c r="Y15" s="9">
        <f t="shared" si="18"/>
        <v>1339507.6293763909</v>
      </c>
      <c r="Z15" s="1">
        <f t="shared" si="19"/>
        <v>123739.90043428571</v>
      </c>
      <c r="AA15" s="1">
        <f t="shared" si="20"/>
        <v>98816.497879999995</v>
      </c>
      <c r="AB15">
        <f t="shared" si="21"/>
        <v>0.81179000000000001</v>
      </c>
      <c r="AC15" s="116">
        <f t="shared" si="22"/>
        <v>2</v>
      </c>
      <c r="AD15" s="7">
        <f t="shared" si="23"/>
        <v>207358.23935269756</v>
      </c>
      <c r="AE15" s="117">
        <f t="shared" si="24"/>
        <v>2</v>
      </c>
      <c r="AF15" s="118">
        <f t="shared" si="25"/>
        <v>2</v>
      </c>
      <c r="AG15" s="9">
        <f t="shared" si="26"/>
        <v>149601.28389517107</v>
      </c>
      <c r="AH15" s="115">
        <f t="shared" si="27"/>
        <v>1</v>
      </c>
      <c r="AI15" s="9">
        <f t="shared" si="28"/>
        <v>82081.329872402013</v>
      </c>
      <c r="AJ15" s="119">
        <f t="shared" si="29"/>
        <v>1</v>
      </c>
      <c r="AK15" s="119">
        <f t="shared" si="30"/>
        <v>1</v>
      </c>
      <c r="AL15" s="9">
        <f t="shared" si="31"/>
        <v>69739.021360782121</v>
      </c>
      <c r="AM15" s="9">
        <f t="shared" si="32"/>
        <v>31619.756650000003</v>
      </c>
      <c r="AN15" s="7">
        <f t="shared" si="33"/>
        <v>762956.02944533841</v>
      </c>
      <c r="AO15">
        <f t="shared" si="34"/>
        <v>0.78961899999999996</v>
      </c>
      <c r="AP15" s="11">
        <f t="shared" si="35"/>
        <v>2.27</v>
      </c>
      <c r="AQ15" s="9">
        <f t="shared" si="36"/>
        <v>229987.26</v>
      </c>
      <c r="AR15" s="1">
        <f t="shared" si="37"/>
        <v>2.5499803750000001</v>
      </c>
      <c r="AS15">
        <f>VLOOKUP(A15,'ADM Data'!$A$2:$T$50,20,FALSE)</f>
        <v>1</v>
      </c>
      <c r="AT15" s="9">
        <f t="shared" si="38"/>
        <v>2.5499803750000001</v>
      </c>
      <c r="AU15" s="1">
        <f t="shared" si="39"/>
        <v>145363.97742155741</v>
      </c>
      <c r="AV15" s="9">
        <f t="shared" si="40"/>
        <v>1409586.7907391903</v>
      </c>
      <c r="AW15" s="9">
        <f t="shared" si="41"/>
        <v>1784938.0281607476</v>
      </c>
      <c r="AX15" s="7">
        <f t="shared" si="42"/>
        <v>9781536.8949981667</v>
      </c>
      <c r="AY15">
        <f t="shared" si="43"/>
        <v>4.0401194119990998E-2</v>
      </c>
    </row>
    <row r="16" spans="1:51" x14ac:dyDescent="0.25">
      <c r="A16" t="s">
        <v>119</v>
      </c>
      <c r="B16" t="s">
        <v>120</v>
      </c>
      <c r="C16" t="s">
        <v>210</v>
      </c>
      <c r="D16" s="1">
        <f>VLOOKUP(A16,'BC ADM'!$A$3:$H$51,8,FALSE)</f>
        <v>44.61</v>
      </c>
      <c r="E16" s="1">
        <f>VLOOKUP(A16,'BC ADM'!$A$3:$G$51,7,FALSE)</f>
        <v>800.43260299999997</v>
      </c>
      <c r="F16" s="1">
        <f>VLOOKUP(A16,'BC ADM'!$A$3:$I$51,9,FALSE)</f>
        <v>850.73437799999999</v>
      </c>
      <c r="G16" s="7">
        <f t="shared" si="0"/>
        <v>96058.458900109545</v>
      </c>
      <c r="H16" s="7">
        <f t="shared" si="1"/>
        <v>4285167.8499999996</v>
      </c>
      <c r="I16" s="1">
        <f t="shared" si="2"/>
        <v>6</v>
      </c>
      <c r="J16" s="114">
        <f t="shared" si="3"/>
        <v>576350.75340065733</v>
      </c>
      <c r="K16">
        <f t="shared" si="4"/>
        <v>104.39999999999999</v>
      </c>
      <c r="L16" s="1">
        <f t="shared" si="5"/>
        <v>26418.42</v>
      </c>
      <c r="M16" s="7">
        <f t="shared" si="6"/>
        <v>88742.699336323203</v>
      </c>
      <c r="N16" s="7">
        <f t="shared" si="7"/>
        <v>4976679.7227369798</v>
      </c>
      <c r="O16" s="115">
        <f t="shared" si="8"/>
        <v>2.2200000000000002</v>
      </c>
      <c r="P16" s="9">
        <f t="shared" si="9"/>
        <v>215027.55</v>
      </c>
      <c r="Q16">
        <f t="shared" si="10"/>
        <v>0.85</v>
      </c>
      <c r="R16" s="9">
        <f t="shared" si="11"/>
        <v>87606.720000000001</v>
      </c>
      <c r="S16">
        <f t="shared" si="12"/>
        <v>3.4</v>
      </c>
      <c r="T16" s="9">
        <f t="shared" si="13"/>
        <v>329321.47573889577</v>
      </c>
      <c r="U16" s="9">
        <f t="shared" si="14"/>
        <v>204431.26684082585</v>
      </c>
      <c r="V16" s="9">
        <f t="shared" si="15"/>
        <v>30795.334143289521</v>
      </c>
      <c r="W16" s="9">
        <f t="shared" si="16"/>
        <v>207414.53876005599</v>
      </c>
      <c r="X16" s="9">
        <f t="shared" si="17"/>
        <v>31902.539174999998</v>
      </c>
      <c r="Y16" s="9">
        <f t="shared" si="18"/>
        <v>1106499.4246580671</v>
      </c>
      <c r="Z16" s="1">
        <f t="shared" si="19"/>
        <v>119252.15150811427</v>
      </c>
      <c r="AA16" s="1">
        <f t="shared" si="20"/>
        <v>94889.71756959999</v>
      </c>
      <c r="AB16">
        <f t="shared" si="21"/>
        <v>0.81179000000000001</v>
      </c>
      <c r="AC16" s="116">
        <f t="shared" si="22"/>
        <v>2</v>
      </c>
      <c r="AD16" s="7">
        <f t="shared" si="23"/>
        <v>200072.01995114418</v>
      </c>
      <c r="AE16" s="117">
        <f t="shared" si="24"/>
        <v>2</v>
      </c>
      <c r="AF16" s="118">
        <f t="shared" si="25"/>
        <v>2</v>
      </c>
      <c r="AG16" s="9">
        <f t="shared" si="26"/>
        <v>149601.28389517107</v>
      </c>
      <c r="AH16" s="115">
        <f t="shared" si="27"/>
        <v>1</v>
      </c>
      <c r="AI16" s="9">
        <f t="shared" si="28"/>
        <v>82081.329872402013</v>
      </c>
      <c r="AJ16" s="119">
        <f t="shared" si="29"/>
        <v>1</v>
      </c>
      <c r="AK16" s="119">
        <f t="shared" si="30"/>
        <v>1</v>
      </c>
      <c r="AL16" s="9">
        <f t="shared" si="31"/>
        <v>69739.021360782121</v>
      </c>
      <c r="AM16" s="9">
        <f t="shared" si="32"/>
        <v>26372.765717999999</v>
      </c>
      <c r="AN16" s="7">
        <f t="shared" si="33"/>
        <v>742008.28987521364</v>
      </c>
      <c r="AO16">
        <f t="shared" si="34"/>
        <v>0.78961899999999996</v>
      </c>
      <c r="AP16" s="11">
        <f t="shared" si="35"/>
        <v>1.89</v>
      </c>
      <c r="AQ16" s="9">
        <f t="shared" si="36"/>
        <v>184789.77</v>
      </c>
      <c r="AR16" s="1">
        <f t="shared" si="37"/>
        <v>2.1268359449999998</v>
      </c>
      <c r="AS16">
        <f>VLOOKUP(A16,'ADM Data'!$A$2:$T$50,20,FALSE)</f>
        <v>1</v>
      </c>
      <c r="AT16" s="9">
        <f t="shared" si="38"/>
        <v>2.1268359449999998</v>
      </c>
      <c r="AU16" s="1">
        <f t="shared" si="39"/>
        <v>121242.23986952711</v>
      </c>
      <c r="AV16" s="9">
        <f t="shared" si="40"/>
        <v>1175679.5791580565</v>
      </c>
      <c r="AW16" s="9">
        <f t="shared" si="41"/>
        <v>1481711.5890275836</v>
      </c>
      <c r="AX16" s="7">
        <f t="shared" si="42"/>
        <v>8306899.026297844</v>
      </c>
      <c r="AY16">
        <f t="shared" si="43"/>
        <v>3.9644333546890995E-2</v>
      </c>
    </row>
    <row r="17" spans="1:51" x14ac:dyDescent="0.25">
      <c r="A17" t="s">
        <v>121</v>
      </c>
      <c r="B17" t="s">
        <v>122</v>
      </c>
      <c r="C17" t="s">
        <v>211</v>
      </c>
      <c r="D17" s="1">
        <f>VLOOKUP(A17,'BC ADM'!$A$3:$H$51,8,FALSE)</f>
        <v>79.89</v>
      </c>
      <c r="E17" s="1">
        <f>VLOOKUP(A17,'BC ADM'!$A$3:$G$51,7,FALSE)</f>
        <v>1507.4949979999999</v>
      </c>
      <c r="F17" s="1">
        <f>VLOOKUP(A17,'BC ADM'!$A$3:$I$51,9,FALSE)</f>
        <v>1589.6221780000001</v>
      </c>
      <c r="G17" s="7">
        <f t="shared" si="0"/>
        <v>96058.458900109545</v>
      </c>
      <c r="H17" s="7">
        <f t="shared" si="1"/>
        <v>7674110.2800000003</v>
      </c>
      <c r="I17" s="1">
        <f t="shared" si="2"/>
        <v>10.6</v>
      </c>
      <c r="J17" s="114">
        <f t="shared" si="3"/>
        <v>1018219.6643411611</v>
      </c>
      <c r="K17">
        <f t="shared" si="4"/>
        <v>104.39999999999999</v>
      </c>
      <c r="L17" s="1">
        <f t="shared" si="5"/>
        <v>47235.78</v>
      </c>
      <c r="M17" s="7">
        <f t="shared" si="6"/>
        <v>158670.75405935361</v>
      </c>
      <c r="N17" s="7">
        <f t="shared" si="7"/>
        <v>8898236.4784005154</v>
      </c>
      <c r="O17" s="115">
        <f t="shared" si="8"/>
        <v>4.1900000000000004</v>
      </c>
      <c r="P17" s="9">
        <f t="shared" si="9"/>
        <v>405840.29</v>
      </c>
      <c r="Q17">
        <f t="shared" si="10"/>
        <v>1.59</v>
      </c>
      <c r="R17" s="9">
        <f t="shared" si="11"/>
        <v>163876.09</v>
      </c>
      <c r="S17">
        <f t="shared" si="12"/>
        <v>6.36</v>
      </c>
      <c r="T17" s="9">
        <f t="shared" si="13"/>
        <v>616024.87814687565</v>
      </c>
      <c r="U17" s="9">
        <f t="shared" si="14"/>
        <v>381985.82783357654</v>
      </c>
      <c r="V17" s="9">
        <f t="shared" si="15"/>
        <v>57541.986545997628</v>
      </c>
      <c r="W17" s="9">
        <f t="shared" si="16"/>
        <v>387560.1590566329</v>
      </c>
      <c r="X17" s="9">
        <f t="shared" si="17"/>
        <v>59610.831675000001</v>
      </c>
      <c r="Y17" s="9">
        <f t="shared" si="18"/>
        <v>2072440.0632580826</v>
      </c>
      <c r="Z17" s="1">
        <f t="shared" si="19"/>
        <v>138843.23374811429</v>
      </c>
      <c r="AA17" s="1">
        <f t="shared" si="20"/>
        <v>112031.91452959999</v>
      </c>
      <c r="AB17">
        <f t="shared" si="21"/>
        <v>0.81179000000000001</v>
      </c>
      <c r="AC17" s="116">
        <f t="shared" si="22"/>
        <v>2.12</v>
      </c>
      <c r="AD17" s="7">
        <f t="shared" si="23"/>
        <v>245792.49180962527</v>
      </c>
      <c r="AE17" s="117">
        <f t="shared" si="24"/>
        <v>2</v>
      </c>
      <c r="AF17" s="118">
        <f t="shared" si="25"/>
        <v>2</v>
      </c>
      <c r="AG17" s="9">
        <f t="shared" si="26"/>
        <v>149601.28389517107</v>
      </c>
      <c r="AH17" s="115">
        <f t="shared" si="27"/>
        <v>1</v>
      </c>
      <c r="AI17" s="9">
        <f t="shared" si="28"/>
        <v>82081.329872402013</v>
      </c>
      <c r="AJ17" s="119">
        <f t="shared" si="29"/>
        <v>1.04</v>
      </c>
      <c r="AK17" s="119">
        <f t="shared" si="30"/>
        <v>1.04</v>
      </c>
      <c r="AL17" s="9">
        <f t="shared" si="31"/>
        <v>72528.582215213406</v>
      </c>
      <c r="AM17" s="9">
        <f t="shared" si="32"/>
        <v>49278.287518000005</v>
      </c>
      <c r="AN17" s="7">
        <f t="shared" si="33"/>
        <v>850157.12358812604</v>
      </c>
      <c r="AO17">
        <f t="shared" si="34"/>
        <v>0.78961899999999996</v>
      </c>
      <c r="AP17" s="11">
        <f t="shared" si="35"/>
        <v>3.53</v>
      </c>
      <c r="AQ17" s="9">
        <f t="shared" si="36"/>
        <v>399743.74</v>
      </c>
      <c r="AR17" s="1">
        <f t="shared" si="37"/>
        <v>3.9740554450000003</v>
      </c>
      <c r="AS17">
        <f>VLOOKUP(A17,'ADM Data'!$A$2:$T$50,20,FALSE)</f>
        <v>2</v>
      </c>
      <c r="AT17" s="9">
        <f t="shared" si="38"/>
        <v>3.9740554450000003</v>
      </c>
      <c r="AU17" s="1">
        <f t="shared" si="39"/>
        <v>226544.68702685498</v>
      </c>
      <c r="AV17" s="9">
        <f t="shared" si="40"/>
        <v>2196791.8325399486</v>
      </c>
      <c r="AW17" s="9">
        <f t="shared" si="41"/>
        <v>2823080.2595668035</v>
      </c>
      <c r="AX17" s="7">
        <f t="shared" si="42"/>
        <v>14643913.924813528</v>
      </c>
      <c r="AY17">
        <f t="shared" si="43"/>
        <v>4.2066955686146587E-2</v>
      </c>
    </row>
    <row r="18" spans="1:51" x14ac:dyDescent="0.25">
      <c r="A18" t="s">
        <v>123</v>
      </c>
      <c r="B18" t="s">
        <v>124</v>
      </c>
      <c r="C18" t="s">
        <v>212</v>
      </c>
      <c r="D18" s="1">
        <f>VLOOKUP(A18,'BC ADM'!$A$3:$H$51,8,FALSE)</f>
        <v>43.2</v>
      </c>
      <c r="E18" s="1">
        <f>VLOOKUP(A18,'BC ADM'!$A$3:$G$51,7,FALSE)</f>
        <v>824.618246</v>
      </c>
      <c r="F18" s="1">
        <f>VLOOKUP(A18,'BC ADM'!$A$3:$I$51,9,FALSE)</f>
        <v>824.618246</v>
      </c>
      <c r="G18" s="7">
        <f t="shared" si="0"/>
        <v>96058.458900109545</v>
      </c>
      <c r="H18" s="7">
        <f t="shared" si="1"/>
        <v>4149725.42</v>
      </c>
      <c r="I18" s="1">
        <f t="shared" si="2"/>
        <v>6</v>
      </c>
      <c r="J18" s="114">
        <f t="shared" si="3"/>
        <v>576350.75340065733</v>
      </c>
      <c r="K18">
        <f t="shared" si="4"/>
        <v>104.39999999999999</v>
      </c>
      <c r="L18" s="1">
        <f t="shared" si="5"/>
        <v>25682.399999999998</v>
      </c>
      <c r="M18" s="7">
        <f t="shared" si="6"/>
        <v>86270.318264119778</v>
      </c>
      <c r="N18" s="7">
        <f t="shared" si="7"/>
        <v>4838028.891664777</v>
      </c>
      <c r="O18" s="115">
        <f t="shared" si="8"/>
        <v>2.29</v>
      </c>
      <c r="P18" s="9">
        <f t="shared" si="9"/>
        <v>221807.7</v>
      </c>
      <c r="Q18">
        <f t="shared" si="10"/>
        <v>0.82</v>
      </c>
      <c r="R18" s="9">
        <f t="shared" si="11"/>
        <v>84514.71</v>
      </c>
      <c r="S18">
        <f t="shared" si="12"/>
        <v>3.3</v>
      </c>
      <c r="T18" s="9">
        <f t="shared" si="13"/>
        <v>319635.54998186941</v>
      </c>
      <c r="U18" s="9">
        <f t="shared" si="14"/>
        <v>198155.56658959863</v>
      </c>
      <c r="V18" s="9">
        <f t="shared" si="15"/>
        <v>29849.968548259749</v>
      </c>
      <c r="W18" s="9">
        <f t="shared" si="16"/>
        <v>201047.25701729712</v>
      </c>
      <c r="X18" s="9">
        <f t="shared" si="17"/>
        <v>30923.184225000001</v>
      </c>
      <c r="Y18" s="9">
        <f t="shared" si="18"/>
        <v>1085933.9363620249</v>
      </c>
      <c r="Z18" s="1">
        <f t="shared" si="19"/>
        <v>118559.70092251428</v>
      </c>
      <c r="AA18" s="1">
        <f t="shared" si="20"/>
        <v>94283.823307199986</v>
      </c>
      <c r="AB18">
        <f t="shared" si="21"/>
        <v>0.81179000000000001</v>
      </c>
      <c r="AC18" s="116">
        <f t="shared" si="22"/>
        <v>2</v>
      </c>
      <c r="AD18" s="7">
        <f t="shared" si="23"/>
        <v>198947.77102937573</v>
      </c>
      <c r="AE18" s="117">
        <f t="shared" si="24"/>
        <v>2</v>
      </c>
      <c r="AF18" s="118">
        <f t="shared" si="25"/>
        <v>2</v>
      </c>
      <c r="AG18" s="9">
        <f t="shared" si="26"/>
        <v>149601.28389517107</v>
      </c>
      <c r="AH18" s="115">
        <f t="shared" si="27"/>
        <v>1</v>
      </c>
      <c r="AI18" s="9">
        <f t="shared" si="28"/>
        <v>82081.329872402013</v>
      </c>
      <c r="AJ18" s="119">
        <f t="shared" si="29"/>
        <v>1</v>
      </c>
      <c r="AK18" s="119">
        <f t="shared" si="30"/>
        <v>1</v>
      </c>
      <c r="AL18" s="9">
        <f t="shared" si="31"/>
        <v>69739.021360782121</v>
      </c>
      <c r="AM18" s="9">
        <f t="shared" si="32"/>
        <v>25563.165626000002</v>
      </c>
      <c r="AN18" s="7">
        <f t="shared" si="33"/>
        <v>738776.09601344529</v>
      </c>
      <c r="AO18">
        <f t="shared" si="34"/>
        <v>0.78961899999999996</v>
      </c>
      <c r="AP18" s="11">
        <f t="shared" si="35"/>
        <v>1.83</v>
      </c>
      <c r="AQ18" s="9">
        <f t="shared" si="36"/>
        <v>177922.83</v>
      </c>
      <c r="AR18" s="1">
        <f t="shared" si="37"/>
        <v>2.061545615</v>
      </c>
      <c r="AS18">
        <f>VLOOKUP(A18,'ADM Data'!$A$2:$T$50,20,FALSE)</f>
        <v>1</v>
      </c>
      <c r="AT18" s="9">
        <f t="shared" si="38"/>
        <v>2.061545615</v>
      </c>
      <c r="AU18" s="1">
        <f t="shared" si="39"/>
        <v>117520.30453660675</v>
      </c>
      <c r="AV18" s="9">
        <f t="shared" si="40"/>
        <v>1139588.1693443623</v>
      </c>
      <c r="AW18" s="9">
        <f t="shared" si="41"/>
        <v>1435031.3038809691</v>
      </c>
      <c r="AX18" s="7">
        <f t="shared" si="42"/>
        <v>8097770.2279212158</v>
      </c>
      <c r="AY18">
        <f t="shared" si="43"/>
        <v>3.9472044894502185E-2</v>
      </c>
    </row>
    <row r="19" spans="1:51" x14ac:dyDescent="0.25">
      <c r="A19" t="s">
        <v>125</v>
      </c>
      <c r="B19" t="s">
        <v>126</v>
      </c>
      <c r="C19" t="s">
        <v>213</v>
      </c>
      <c r="D19" s="1">
        <f>VLOOKUP(A19,'BC ADM'!$A$3:$H$51,8,FALSE)</f>
        <v>64.77</v>
      </c>
      <c r="E19" s="1">
        <f>VLOOKUP(A19,'BC ADM'!$A$3:$G$51,7,FALSE)</f>
        <v>1116.0381749999999</v>
      </c>
      <c r="F19" s="1">
        <f>VLOOKUP(A19,'BC ADM'!$A$3:$I$51,9,FALSE)</f>
        <v>1263.2607149999999</v>
      </c>
      <c r="G19" s="7">
        <f t="shared" si="0"/>
        <v>96058.458900109545</v>
      </c>
      <c r="H19" s="7">
        <f t="shared" si="1"/>
        <v>6221706.3799999999</v>
      </c>
      <c r="I19" s="1">
        <f t="shared" si="2"/>
        <v>8.42</v>
      </c>
      <c r="J19" s="114">
        <f t="shared" si="3"/>
        <v>808812.2239389224</v>
      </c>
      <c r="K19">
        <f t="shared" si="4"/>
        <v>104.39999999999999</v>
      </c>
      <c r="L19" s="1">
        <f t="shared" si="5"/>
        <v>38205.179999999993</v>
      </c>
      <c r="M19" s="7">
        <f t="shared" si="6"/>
        <v>128335.86572664484</v>
      </c>
      <c r="N19" s="7">
        <f t="shared" si="7"/>
        <v>7197059.6496655671</v>
      </c>
      <c r="O19" s="115">
        <f t="shared" si="8"/>
        <v>3.1</v>
      </c>
      <c r="P19" s="9">
        <f t="shared" si="9"/>
        <v>300263.7</v>
      </c>
      <c r="Q19">
        <f t="shared" si="10"/>
        <v>1.26</v>
      </c>
      <c r="R19" s="9">
        <f t="shared" si="11"/>
        <v>129864.07</v>
      </c>
      <c r="S19">
        <f t="shared" si="12"/>
        <v>5.05</v>
      </c>
      <c r="T19" s="9">
        <f t="shared" si="13"/>
        <v>489139.25072983047</v>
      </c>
      <c r="U19" s="9">
        <f t="shared" si="14"/>
        <v>303561.24660768965</v>
      </c>
      <c r="V19" s="9">
        <f t="shared" si="15"/>
        <v>45728.181244975895</v>
      </c>
      <c r="W19" s="9">
        <f t="shared" si="16"/>
        <v>307991.12544553069</v>
      </c>
      <c r="X19" s="9">
        <f t="shared" si="17"/>
        <v>47372.276812499993</v>
      </c>
      <c r="Y19" s="9">
        <f t="shared" si="18"/>
        <v>1623919.8508405269</v>
      </c>
      <c r="Z19" s="1">
        <f t="shared" si="19"/>
        <v>130189.99267199999</v>
      </c>
      <c r="AA19" s="1">
        <f t="shared" si="20"/>
        <v>104460.32858799999</v>
      </c>
      <c r="AB19">
        <f t="shared" si="21"/>
        <v>0.81179000000000001</v>
      </c>
      <c r="AC19" s="116">
        <f t="shared" si="22"/>
        <v>2</v>
      </c>
      <c r="AD19" s="7">
        <f t="shared" si="23"/>
        <v>217830.48010800575</v>
      </c>
      <c r="AE19" s="117">
        <f t="shared" si="24"/>
        <v>2</v>
      </c>
      <c r="AF19" s="118">
        <f t="shared" si="25"/>
        <v>2</v>
      </c>
      <c r="AG19" s="9">
        <f t="shared" si="26"/>
        <v>149601.28389517107</v>
      </c>
      <c r="AH19" s="115">
        <f t="shared" si="27"/>
        <v>1</v>
      </c>
      <c r="AI19" s="9">
        <f t="shared" si="28"/>
        <v>82081.329872402013</v>
      </c>
      <c r="AJ19" s="119">
        <f t="shared" si="29"/>
        <v>1</v>
      </c>
      <c r="AK19" s="119">
        <f t="shared" si="30"/>
        <v>1</v>
      </c>
      <c r="AL19" s="9">
        <f t="shared" si="31"/>
        <v>69739.021360782121</v>
      </c>
      <c r="AM19" s="9">
        <f t="shared" si="32"/>
        <v>39161.082165</v>
      </c>
      <c r="AN19" s="7">
        <f t="shared" si="33"/>
        <v>793063.51866136095</v>
      </c>
      <c r="AO19">
        <f t="shared" si="34"/>
        <v>0.78961899999999996</v>
      </c>
      <c r="AP19" s="11">
        <f t="shared" si="35"/>
        <v>2.81</v>
      </c>
      <c r="AQ19" s="9">
        <f t="shared" si="36"/>
        <v>299009.53999999998</v>
      </c>
      <c r="AR19" s="1">
        <f t="shared" si="37"/>
        <v>3.1581517874999996</v>
      </c>
      <c r="AS19">
        <f>VLOOKUP(A19,'ADM Data'!$A$2:$T$50,20,FALSE)</f>
        <v>1</v>
      </c>
      <c r="AT19" s="9">
        <f t="shared" si="38"/>
        <v>3</v>
      </c>
      <c r="AU19" s="1">
        <f t="shared" si="39"/>
        <v>171017.76019145723</v>
      </c>
      <c r="AV19" s="9">
        <f t="shared" si="40"/>
        <v>1745773.844557279</v>
      </c>
      <c r="AW19" s="9">
        <f t="shared" si="41"/>
        <v>2215801.1447487362</v>
      </c>
      <c r="AX19" s="7">
        <f t="shared" si="42"/>
        <v>11829844.163916191</v>
      </c>
      <c r="AY19">
        <f t="shared" si="43"/>
        <v>4.1347903146672069E-2</v>
      </c>
    </row>
    <row r="20" spans="1:51" x14ac:dyDescent="0.25">
      <c r="A20" t="s">
        <v>127</v>
      </c>
      <c r="B20" t="s">
        <v>128</v>
      </c>
      <c r="C20" t="s">
        <v>214</v>
      </c>
      <c r="D20" s="1">
        <f>VLOOKUP(A20,'BC ADM'!$A$3:$H$51,8,FALSE)</f>
        <v>234.64</v>
      </c>
      <c r="E20" s="1">
        <f>VLOOKUP(A20,'BC ADM'!$A$3:$G$51,7,FALSE)</f>
        <v>3961.9941739999999</v>
      </c>
      <c r="F20" s="1">
        <f>VLOOKUP(A20,'BC ADM'!$A$3:$I$51,9,FALSE)</f>
        <v>4497.9601739999998</v>
      </c>
      <c r="G20" s="7">
        <f t="shared" si="0"/>
        <v>96058.458900109545</v>
      </c>
      <c r="H20" s="7">
        <f t="shared" si="1"/>
        <v>22539156.800000001</v>
      </c>
      <c r="I20" s="1">
        <f t="shared" si="2"/>
        <v>29.99</v>
      </c>
      <c r="J20" s="114">
        <f t="shared" si="3"/>
        <v>2880793.1824142849</v>
      </c>
      <c r="K20">
        <f t="shared" si="4"/>
        <v>104.39999999999999</v>
      </c>
      <c r="L20" s="1">
        <f t="shared" si="5"/>
        <v>138136.85999999999</v>
      </c>
      <c r="M20" s="7">
        <f t="shared" si="6"/>
        <v>464018.58378524421</v>
      </c>
      <c r="N20" s="7">
        <f t="shared" si="7"/>
        <v>26022105.426199529</v>
      </c>
      <c r="O20" s="115">
        <f t="shared" si="8"/>
        <v>11.01</v>
      </c>
      <c r="P20" s="9">
        <f t="shared" si="9"/>
        <v>1066420.43</v>
      </c>
      <c r="Q20">
        <f t="shared" si="10"/>
        <v>4.5</v>
      </c>
      <c r="R20" s="9">
        <f t="shared" si="11"/>
        <v>463800.26</v>
      </c>
      <c r="S20">
        <f t="shared" si="12"/>
        <v>17.989999999999998</v>
      </c>
      <c r="T20" s="9">
        <f t="shared" si="13"/>
        <v>1742498.0436890395</v>
      </c>
      <c r="U20" s="9">
        <f t="shared" si="14"/>
        <v>1080858.7502154538</v>
      </c>
      <c r="V20" s="9">
        <f t="shared" si="15"/>
        <v>162819.54756216361</v>
      </c>
      <c r="W20" s="9">
        <f t="shared" si="16"/>
        <v>1096631.7560183411</v>
      </c>
      <c r="X20" s="9">
        <f t="shared" si="17"/>
        <v>168673.506525</v>
      </c>
      <c r="Y20" s="9">
        <f t="shared" si="18"/>
        <v>5781702.2940099975</v>
      </c>
      <c r="Z20" s="1">
        <f t="shared" si="19"/>
        <v>202752.68</v>
      </c>
      <c r="AA20" s="1">
        <f t="shared" si="20"/>
        <v>167952.68</v>
      </c>
      <c r="AB20">
        <f t="shared" si="21"/>
        <v>0.81179000000000001</v>
      </c>
      <c r="AC20" s="116">
        <f t="shared" si="22"/>
        <v>6</v>
      </c>
      <c r="AD20" s="7">
        <f t="shared" si="23"/>
        <v>1006925.4240000001</v>
      </c>
      <c r="AE20" s="117">
        <f t="shared" si="24"/>
        <v>5.29</v>
      </c>
      <c r="AF20" s="118">
        <f t="shared" si="25"/>
        <v>5.2917178517647061</v>
      </c>
      <c r="AG20" s="9">
        <f t="shared" si="26"/>
        <v>395695.3959027275</v>
      </c>
      <c r="AH20" s="115">
        <f t="shared" si="27"/>
        <v>1</v>
      </c>
      <c r="AI20" s="9">
        <f t="shared" si="28"/>
        <v>82081.329872402013</v>
      </c>
      <c r="AJ20" s="119">
        <f t="shared" si="29"/>
        <v>2.3333333333333335</v>
      </c>
      <c r="AK20" s="119">
        <f t="shared" si="30"/>
        <v>2.3333333333333335</v>
      </c>
      <c r="AL20" s="9">
        <f t="shared" si="31"/>
        <v>162724.38317515829</v>
      </c>
      <c r="AM20" s="9">
        <f t="shared" si="32"/>
        <v>139436.76539399999</v>
      </c>
      <c r="AN20" s="7">
        <f t="shared" si="33"/>
        <v>2157568.6583442879</v>
      </c>
      <c r="AO20">
        <f t="shared" si="34"/>
        <v>0.78961899999999996</v>
      </c>
      <c r="AP20" s="11">
        <f t="shared" si="35"/>
        <v>10</v>
      </c>
      <c r="AQ20" s="9">
        <f t="shared" si="36"/>
        <v>1637059.66</v>
      </c>
      <c r="AR20" s="1">
        <f t="shared" si="37"/>
        <v>11.244900435</v>
      </c>
      <c r="AS20">
        <f>VLOOKUP(A20,'ADM Data'!$A$2:$T$50,20,FALSE)</f>
        <v>5</v>
      </c>
      <c r="AT20" s="9">
        <f t="shared" si="38"/>
        <v>11.244900435</v>
      </c>
      <c r="AU20" s="1">
        <f t="shared" si="39"/>
        <v>641025.89532321435</v>
      </c>
      <c r="AV20" s="9">
        <f t="shared" si="40"/>
        <v>6215994.1589171542</v>
      </c>
      <c r="AW20" s="9">
        <f t="shared" si="41"/>
        <v>8494079.7142403685</v>
      </c>
      <c r="AX20" s="7">
        <f t="shared" si="42"/>
        <v>42455456.09279418</v>
      </c>
      <c r="AY20">
        <f t="shared" si="43"/>
        <v>4.1042970775781812E-2</v>
      </c>
    </row>
    <row r="21" spans="1:51" x14ac:dyDescent="0.25">
      <c r="A21" t="s">
        <v>129</v>
      </c>
      <c r="B21" t="s">
        <v>130</v>
      </c>
      <c r="C21" t="s">
        <v>215</v>
      </c>
      <c r="D21" s="1">
        <f>VLOOKUP(A21,'BC ADM'!$A$3:$H$51,8,FALSE)</f>
        <v>18.89</v>
      </c>
      <c r="E21" s="1">
        <f>VLOOKUP(A21,'BC ADM'!$A$3:$G$51,7,FALSE)</f>
        <v>360.76220499999999</v>
      </c>
      <c r="F21" s="1">
        <f>VLOOKUP(A21,'BC ADM'!$A$3:$I$51,9,FALSE)</f>
        <v>360.76220499999999</v>
      </c>
      <c r="G21" s="7">
        <f t="shared" si="0"/>
        <v>96058.458900109545</v>
      </c>
      <c r="H21" s="7">
        <f t="shared" si="1"/>
        <v>1814544.29</v>
      </c>
      <c r="I21" s="1">
        <f t="shared" si="2"/>
        <v>6</v>
      </c>
      <c r="J21" s="114">
        <f t="shared" si="3"/>
        <v>576350.75340065733</v>
      </c>
      <c r="K21">
        <f t="shared" si="4"/>
        <v>104.39999999999999</v>
      </c>
      <c r="L21" s="1">
        <f t="shared" si="5"/>
        <v>12992.579999999998</v>
      </c>
      <c r="M21" s="7">
        <f t="shared" si="6"/>
        <v>43643.663040527259</v>
      </c>
      <c r="N21" s="7">
        <f t="shared" si="7"/>
        <v>2447531.2864411846</v>
      </c>
      <c r="O21" s="115">
        <f t="shared" si="8"/>
        <v>1</v>
      </c>
      <c r="P21" s="9">
        <f t="shared" si="9"/>
        <v>96859.26</v>
      </c>
      <c r="Q21">
        <f t="shared" si="10"/>
        <v>0.36</v>
      </c>
      <c r="R21" s="9">
        <f t="shared" si="11"/>
        <v>37104.019999999997</v>
      </c>
      <c r="S21">
        <f t="shared" si="12"/>
        <v>1.44</v>
      </c>
      <c r="T21" s="9">
        <f t="shared" si="13"/>
        <v>139477.33090117938</v>
      </c>
      <c r="U21" s="9">
        <f t="shared" si="14"/>
        <v>86691.071271648689</v>
      </c>
      <c r="V21" s="9">
        <f t="shared" si="15"/>
        <v>13059.06160200442</v>
      </c>
      <c r="W21" s="9">
        <f t="shared" si="16"/>
        <v>87956.156806602885</v>
      </c>
      <c r="X21" s="9">
        <f t="shared" si="17"/>
        <v>13528.5826875</v>
      </c>
      <c r="Y21" s="9">
        <f t="shared" si="18"/>
        <v>474675.48326893535</v>
      </c>
      <c r="Z21" s="1">
        <f t="shared" si="19"/>
        <v>109952.68</v>
      </c>
      <c r="AA21" s="1">
        <f t="shared" si="20"/>
        <v>86752.68</v>
      </c>
      <c r="AB21">
        <f t="shared" si="21"/>
        <v>0.81179000000000001</v>
      </c>
      <c r="AC21" s="116">
        <f t="shared" si="22"/>
        <v>2</v>
      </c>
      <c r="AD21" s="7">
        <f t="shared" si="23"/>
        <v>184973.58400000003</v>
      </c>
      <c r="AE21" s="117">
        <f t="shared" si="24"/>
        <v>2</v>
      </c>
      <c r="AF21" s="118">
        <f t="shared" si="25"/>
        <v>2</v>
      </c>
      <c r="AG21" s="9">
        <f t="shared" si="26"/>
        <v>149601.28389517107</v>
      </c>
      <c r="AH21" s="115">
        <f t="shared" si="27"/>
        <v>1</v>
      </c>
      <c r="AI21" s="9">
        <f t="shared" si="28"/>
        <v>82081.329872402013</v>
      </c>
      <c r="AJ21" s="119">
        <f t="shared" si="29"/>
        <v>1</v>
      </c>
      <c r="AK21" s="119">
        <f t="shared" si="30"/>
        <v>1</v>
      </c>
      <c r="AL21" s="9">
        <f t="shared" si="31"/>
        <v>69739.021360782121</v>
      </c>
      <c r="AM21" s="9">
        <f t="shared" si="32"/>
        <v>11183.628355000001</v>
      </c>
      <c r="AN21" s="7">
        <f t="shared" si="33"/>
        <v>694284.20748335531</v>
      </c>
      <c r="AO21">
        <f t="shared" si="34"/>
        <v>0.78961899999999996</v>
      </c>
      <c r="AP21" s="11">
        <f t="shared" si="35"/>
        <v>0.8</v>
      </c>
      <c r="AQ21" s="9">
        <f t="shared" si="36"/>
        <v>72343.460000000006</v>
      </c>
      <c r="AR21" s="1">
        <f t="shared" si="37"/>
        <v>0.90190551249999995</v>
      </c>
      <c r="AS21">
        <f>VLOOKUP(A21,'ADM Data'!$A$2:$T$50,20,FALSE)</f>
        <v>1</v>
      </c>
      <c r="AT21" s="9">
        <f t="shared" si="38"/>
        <v>0.90190551249999995</v>
      </c>
      <c r="AU21" s="1">
        <f t="shared" si="39"/>
        <v>57005.920063819081</v>
      </c>
      <c r="AV21" s="9">
        <f t="shared" si="40"/>
        <v>498558.38475418056</v>
      </c>
      <c r="AW21" s="9">
        <f t="shared" si="41"/>
        <v>627907.76481799968</v>
      </c>
      <c r="AX21" s="7">
        <f t="shared" si="42"/>
        <v>4244398.7420114744</v>
      </c>
      <c r="AY21">
        <f t="shared" si="43"/>
        <v>3.2861505098618349E-2</v>
      </c>
    </row>
    <row r="22" spans="1:51" x14ac:dyDescent="0.25">
      <c r="A22" t="s">
        <v>131</v>
      </c>
      <c r="B22" t="s">
        <v>132</v>
      </c>
      <c r="C22" t="s">
        <v>216</v>
      </c>
      <c r="D22" s="1">
        <f>VLOOKUP(A22,'BC ADM'!$A$3:$H$51,8,FALSE)</f>
        <v>30.89</v>
      </c>
      <c r="E22" s="1">
        <f>VLOOKUP(A22,'BC ADM'!$A$3:$G$51,7,FALSE)</f>
        <v>591.67776700000002</v>
      </c>
      <c r="F22" s="1">
        <f>VLOOKUP(A22,'BC ADM'!$A$3:$I$51,9,FALSE)</f>
        <v>591.67776700000002</v>
      </c>
      <c r="G22" s="7">
        <f t="shared" si="0"/>
        <v>96058.458900109545</v>
      </c>
      <c r="H22" s="7">
        <f t="shared" si="1"/>
        <v>2967245.8</v>
      </c>
      <c r="I22" s="1">
        <f t="shared" si="2"/>
        <v>6</v>
      </c>
      <c r="J22" s="114">
        <f t="shared" si="3"/>
        <v>576350.75340065733</v>
      </c>
      <c r="K22">
        <f t="shared" si="4"/>
        <v>104.39999999999999</v>
      </c>
      <c r="L22" s="1">
        <f t="shared" si="5"/>
        <v>19256.579999999998</v>
      </c>
      <c r="M22" s="7">
        <f t="shared" si="6"/>
        <v>64685.204080556476</v>
      </c>
      <c r="N22" s="7">
        <f t="shared" si="7"/>
        <v>3627538.3374812137</v>
      </c>
      <c r="O22" s="115">
        <f t="shared" si="8"/>
        <v>1.64</v>
      </c>
      <c r="P22" s="9">
        <f t="shared" si="9"/>
        <v>158849.18</v>
      </c>
      <c r="Q22">
        <f t="shared" si="10"/>
        <v>0.59</v>
      </c>
      <c r="R22" s="9">
        <f t="shared" si="11"/>
        <v>60809.37</v>
      </c>
      <c r="S22">
        <f t="shared" si="12"/>
        <v>2.37</v>
      </c>
      <c r="T22" s="9">
        <f t="shared" si="13"/>
        <v>229556.44044152441</v>
      </c>
      <c r="U22" s="9">
        <f t="shared" si="14"/>
        <v>142180.02539608313</v>
      </c>
      <c r="V22" s="9">
        <f t="shared" si="15"/>
        <v>21417.865565461379</v>
      </c>
      <c r="W22" s="9">
        <f t="shared" si="16"/>
        <v>144254.86298719302</v>
      </c>
      <c r="X22" s="9">
        <f t="shared" si="17"/>
        <v>22187.916262499999</v>
      </c>
      <c r="Y22" s="9">
        <f t="shared" si="18"/>
        <v>779255.66065276193</v>
      </c>
      <c r="Z22" s="1">
        <f t="shared" si="19"/>
        <v>112383.4505078857</v>
      </c>
      <c r="AA22" s="1">
        <f t="shared" si="20"/>
        <v>88879.604194399988</v>
      </c>
      <c r="AB22">
        <f t="shared" si="21"/>
        <v>0.81179000000000001</v>
      </c>
      <c r="AC22" s="116">
        <f t="shared" si="22"/>
        <v>2</v>
      </c>
      <c r="AD22" s="7">
        <f t="shared" si="23"/>
        <v>188920.13438119309</v>
      </c>
      <c r="AE22" s="117">
        <f t="shared" si="24"/>
        <v>2</v>
      </c>
      <c r="AF22" s="118">
        <f t="shared" si="25"/>
        <v>2</v>
      </c>
      <c r="AG22" s="9">
        <f t="shared" si="26"/>
        <v>149601.28389517107</v>
      </c>
      <c r="AH22" s="115">
        <f t="shared" si="27"/>
        <v>1</v>
      </c>
      <c r="AI22" s="9">
        <f t="shared" si="28"/>
        <v>82081.329872402013</v>
      </c>
      <c r="AJ22" s="119">
        <f t="shared" si="29"/>
        <v>1</v>
      </c>
      <c r="AK22" s="119">
        <f t="shared" si="30"/>
        <v>1</v>
      </c>
      <c r="AL22" s="9">
        <f t="shared" si="31"/>
        <v>69739.021360782121</v>
      </c>
      <c r="AM22" s="9">
        <f t="shared" si="32"/>
        <v>18342.010777</v>
      </c>
      <c r="AN22" s="7">
        <f t="shared" si="33"/>
        <v>709946.83498883399</v>
      </c>
      <c r="AO22">
        <f t="shared" si="34"/>
        <v>0.78961899999999996</v>
      </c>
      <c r="AP22" s="11">
        <f t="shared" si="35"/>
        <v>1.31</v>
      </c>
      <c r="AQ22" s="9">
        <f t="shared" si="36"/>
        <v>120976.8</v>
      </c>
      <c r="AR22" s="1">
        <f t="shared" si="37"/>
        <v>1.4791944175</v>
      </c>
      <c r="AS22">
        <f>VLOOKUP(A22,'ADM Data'!$A$2:$T$50,20,FALSE)</f>
        <v>1</v>
      </c>
      <c r="AT22" s="9">
        <f t="shared" si="38"/>
        <v>1.4791944175</v>
      </c>
      <c r="AU22" s="1">
        <f t="shared" si="39"/>
        <v>84322.838722852437</v>
      </c>
      <c r="AV22" s="9">
        <f t="shared" si="40"/>
        <v>817674.1014499577</v>
      </c>
      <c r="AW22" s="9">
        <f t="shared" si="41"/>
        <v>1022973.7401728102</v>
      </c>
      <c r="AX22" s="7">
        <f t="shared" si="42"/>
        <v>6139714.5732956203</v>
      </c>
      <c r="AY22">
        <f t="shared" si="43"/>
        <v>3.7388780488260581E-2</v>
      </c>
    </row>
    <row r="23" spans="1:51" x14ac:dyDescent="0.25">
      <c r="A23" t="s">
        <v>133</v>
      </c>
      <c r="B23" t="s">
        <v>134</v>
      </c>
      <c r="C23" t="s">
        <v>217</v>
      </c>
      <c r="D23" s="1">
        <f>VLOOKUP(A23,'BC ADM'!$A$3:$H$51,8,FALSE)</f>
        <v>23.78</v>
      </c>
      <c r="E23" s="1">
        <f>VLOOKUP(A23,'BC ADM'!$A$3:$G$51,7,FALSE)</f>
        <v>432.61144100000001</v>
      </c>
      <c r="F23" s="1">
        <f>VLOOKUP(A23,'BC ADM'!$A$3:$I$51,9,FALSE)</f>
        <v>432.61144100000001</v>
      </c>
      <c r="G23" s="7">
        <f t="shared" si="0"/>
        <v>96058.458900109545</v>
      </c>
      <c r="H23" s="7">
        <f t="shared" si="1"/>
        <v>2284270.15</v>
      </c>
      <c r="I23" s="1">
        <f t="shared" si="2"/>
        <v>6</v>
      </c>
      <c r="J23" s="114">
        <f t="shared" si="3"/>
        <v>576350.75340065733</v>
      </c>
      <c r="K23">
        <f t="shared" si="4"/>
        <v>104.39999999999999</v>
      </c>
      <c r="L23" s="1">
        <f t="shared" si="5"/>
        <v>15545.159999999998</v>
      </c>
      <c r="M23" s="7">
        <f t="shared" si="6"/>
        <v>52218.091014339167</v>
      </c>
      <c r="N23" s="7">
        <f t="shared" si="7"/>
        <v>2928384.1544149965</v>
      </c>
      <c r="O23" s="115">
        <f t="shared" si="8"/>
        <v>1.2</v>
      </c>
      <c r="P23" s="9">
        <f t="shared" si="9"/>
        <v>116231.11</v>
      </c>
      <c r="Q23">
        <f t="shared" si="10"/>
        <v>0.43</v>
      </c>
      <c r="R23" s="9">
        <f t="shared" si="11"/>
        <v>44318.69</v>
      </c>
      <c r="S23">
        <f t="shared" si="12"/>
        <v>1.73</v>
      </c>
      <c r="T23" s="9">
        <f t="shared" si="13"/>
        <v>167566.51559655578</v>
      </c>
      <c r="U23" s="9">
        <f t="shared" si="14"/>
        <v>103956.42543725345</v>
      </c>
      <c r="V23" s="9">
        <f t="shared" si="15"/>
        <v>15659.898347031394</v>
      </c>
      <c r="W23" s="9">
        <f t="shared" si="16"/>
        <v>105473.46482962769</v>
      </c>
      <c r="X23" s="9">
        <f t="shared" si="17"/>
        <v>16222.9290375</v>
      </c>
      <c r="Y23" s="9">
        <f t="shared" si="18"/>
        <v>569429.0332479683</v>
      </c>
      <c r="Z23" s="1">
        <f t="shared" si="19"/>
        <v>109952.68</v>
      </c>
      <c r="AA23" s="1">
        <f t="shared" si="20"/>
        <v>86752.68</v>
      </c>
      <c r="AB23">
        <f t="shared" si="21"/>
        <v>0.81179000000000001</v>
      </c>
      <c r="AC23" s="116">
        <f t="shared" si="22"/>
        <v>2</v>
      </c>
      <c r="AD23" s="7">
        <f t="shared" si="23"/>
        <v>184973.58400000003</v>
      </c>
      <c r="AE23" s="117">
        <f t="shared" si="24"/>
        <v>2</v>
      </c>
      <c r="AF23" s="118">
        <f t="shared" si="25"/>
        <v>2</v>
      </c>
      <c r="AG23" s="9">
        <f t="shared" si="26"/>
        <v>149601.28389517107</v>
      </c>
      <c r="AH23" s="115">
        <f t="shared" si="27"/>
        <v>1</v>
      </c>
      <c r="AI23" s="9">
        <f t="shared" si="28"/>
        <v>82081.329872402013</v>
      </c>
      <c r="AJ23" s="119">
        <f t="shared" si="29"/>
        <v>1</v>
      </c>
      <c r="AK23" s="119">
        <f t="shared" si="30"/>
        <v>1</v>
      </c>
      <c r="AL23" s="9">
        <f t="shared" si="31"/>
        <v>69739.021360782121</v>
      </c>
      <c r="AM23" s="9">
        <f t="shared" si="32"/>
        <v>13410.954671</v>
      </c>
      <c r="AN23" s="7">
        <f t="shared" si="33"/>
        <v>696511.53379935527</v>
      </c>
      <c r="AO23">
        <f t="shared" si="34"/>
        <v>0.78961899999999996</v>
      </c>
      <c r="AP23" s="11">
        <f t="shared" si="35"/>
        <v>0.96</v>
      </c>
      <c r="AQ23" s="9">
        <f t="shared" si="36"/>
        <v>86812.15</v>
      </c>
      <c r="AR23" s="1">
        <f t="shared" si="37"/>
        <v>1.0815286024999999</v>
      </c>
      <c r="AS23">
        <f>VLOOKUP(A23,'ADM Data'!$A$2:$T$50,20,FALSE)</f>
        <v>1</v>
      </c>
      <c r="AT23" s="9">
        <f t="shared" si="38"/>
        <v>1.0815286024999999</v>
      </c>
      <c r="AU23" s="1">
        <f t="shared" si="39"/>
        <v>61653.53306084896</v>
      </c>
      <c r="AV23" s="9">
        <f t="shared" si="40"/>
        <v>597851.04498720565</v>
      </c>
      <c r="AW23" s="9">
        <f t="shared" si="41"/>
        <v>746316.72804805462</v>
      </c>
      <c r="AX23" s="7">
        <f t="shared" si="42"/>
        <v>4940641.4495103741</v>
      </c>
      <c r="AY23">
        <f t="shared" si="43"/>
        <v>3.3915943366657764E-2</v>
      </c>
    </row>
    <row r="24" spans="1:51" x14ac:dyDescent="0.25">
      <c r="A24" t="s">
        <v>135</v>
      </c>
      <c r="B24" t="s">
        <v>136</v>
      </c>
      <c r="C24" t="s">
        <v>218</v>
      </c>
      <c r="D24" s="1">
        <f>VLOOKUP(A24,'BC ADM'!$A$3:$H$51,8,FALSE)</f>
        <v>40.9</v>
      </c>
      <c r="E24" s="1">
        <f>VLOOKUP(A24,'BC ADM'!$A$3:$G$51,7,FALSE)</f>
        <v>707.042418</v>
      </c>
      <c r="F24" s="1">
        <f>VLOOKUP(A24,'BC ADM'!$A$3:$I$51,9,FALSE)</f>
        <v>739.15898499999992</v>
      </c>
      <c r="G24" s="7">
        <f t="shared" si="0"/>
        <v>96058.458900109545</v>
      </c>
      <c r="H24" s="7">
        <f t="shared" si="1"/>
        <v>3928790.97</v>
      </c>
      <c r="I24" s="1">
        <f t="shared" si="2"/>
        <v>6</v>
      </c>
      <c r="J24" s="114">
        <f t="shared" si="3"/>
        <v>576350.75340065733</v>
      </c>
      <c r="K24">
        <f t="shared" si="4"/>
        <v>104.39999999999999</v>
      </c>
      <c r="L24" s="1">
        <f t="shared" si="5"/>
        <v>24481.8</v>
      </c>
      <c r="M24" s="7">
        <f t="shared" si="6"/>
        <v>82237.356231447498</v>
      </c>
      <c r="N24" s="7">
        <f t="shared" si="7"/>
        <v>4611860.8796321051</v>
      </c>
      <c r="O24" s="115">
        <f t="shared" si="8"/>
        <v>1.96</v>
      </c>
      <c r="P24" s="9">
        <f t="shared" si="9"/>
        <v>189844.14</v>
      </c>
      <c r="Q24">
        <f t="shared" si="10"/>
        <v>0.74</v>
      </c>
      <c r="R24" s="9">
        <f t="shared" si="11"/>
        <v>76269.38</v>
      </c>
      <c r="S24">
        <f t="shared" si="12"/>
        <v>2.96</v>
      </c>
      <c r="T24" s="9">
        <f t="shared" si="13"/>
        <v>286703.40240797983</v>
      </c>
      <c r="U24" s="9">
        <f t="shared" si="14"/>
        <v>177619.72668316102</v>
      </c>
      <c r="V24" s="9">
        <f t="shared" si="15"/>
        <v>26756.468901142402</v>
      </c>
      <c r="W24" s="9">
        <f t="shared" si="16"/>
        <v>180211.73695196098</v>
      </c>
      <c r="X24" s="9">
        <f t="shared" si="17"/>
        <v>27718.461937499997</v>
      </c>
      <c r="Y24" s="9">
        <f t="shared" si="18"/>
        <v>965123.31688174419</v>
      </c>
      <c r="Z24" s="1">
        <f t="shared" si="19"/>
        <v>116293.80965942856</v>
      </c>
      <c r="AA24" s="1">
        <f t="shared" si="20"/>
        <v>92301.168451999984</v>
      </c>
      <c r="AB24">
        <f t="shared" si="21"/>
        <v>0.81179000000000001</v>
      </c>
      <c r="AC24" s="116">
        <f t="shared" si="22"/>
        <v>2</v>
      </c>
      <c r="AD24" s="7">
        <f t="shared" si="23"/>
        <v>195268.915292455</v>
      </c>
      <c r="AE24" s="117">
        <f t="shared" si="24"/>
        <v>2</v>
      </c>
      <c r="AF24" s="118">
        <f t="shared" si="25"/>
        <v>2</v>
      </c>
      <c r="AG24" s="9">
        <f t="shared" si="26"/>
        <v>149601.28389517107</v>
      </c>
      <c r="AH24" s="115">
        <f t="shared" si="27"/>
        <v>1</v>
      </c>
      <c r="AI24" s="9">
        <f t="shared" si="28"/>
        <v>82081.329872402013</v>
      </c>
      <c r="AJ24" s="119">
        <f t="shared" si="29"/>
        <v>1</v>
      </c>
      <c r="AK24" s="119">
        <f t="shared" si="30"/>
        <v>1</v>
      </c>
      <c r="AL24" s="9">
        <f t="shared" si="31"/>
        <v>69739.021360782121</v>
      </c>
      <c r="AM24" s="9">
        <f t="shared" si="32"/>
        <v>22913.928534999999</v>
      </c>
      <c r="AN24" s="7">
        <f t="shared" si="33"/>
        <v>728199.45706723863</v>
      </c>
      <c r="AO24">
        <f t="shared" si="34"/>
        <v>0.78961899999999996</v>
      </c>
      <c r="AP24" s="11">
        <f t="shared" si="35"/>
        <v>1.64</v>
      </c>
      <c r="AQ24" s="9">
        <f t="shared" si="36"/>
        <v>156515.70000000001</v>
      </c>
      <c r="AR24" s="1">
        <f t="shared" si="37"/>
        <v>1.8478974624999998</v>
      </c>
      <c r="AS24">
        <f>VLOOKUP(A24,'ADM Data'!$A$2:$T$50,20,FALSE)</f>
        <v>1</v>
      </c>
      <c r="AT24" s="9">
        <f t="shared" si="38"/>
        <v>1.8478974624999998</v>
      </c>
      <c r="AU24" s="1">
        <f t="shared" si="39"/>
        <v>105341.0950334091</v>
      </c>
      <c r="AV24" s="9">
        <f t="shared" si="40"/>
        <v>1021487.0197895025</v>
      </c>
      <c r="AW24" s="9">
        <f t="shared" si="41"/>
        <v>1283343.8148229115</v>
      </c>
      <c r="AX24" s="7">
        <f t="shared" si="42"/>
        <v>7588527.4684039997</v>
      </c>
      <c r="AY24">
        <f t="shared" si="43"/>
        <v>3.7781164211596191E-2</v>
      </c>
    </row>
    <row r="25" spans="1:51" x14ac:dyDescent="0.25">
      <c r="A25" t="s">
        <v>137</v>
      </c>
      <c r="B25" t="s">
        <v>138</v>
      </c>
      <c r="C25" t="s">
        <v>219</v>
      </c>
      <c r="D25" s="1">
        <f>VLOOKUP(A25,'BC ADM'!$A$3:$H$51,8,FALSE)</f>
        <v>54.78</v>
      </c>
      <c r="E25" s="1">
        <f>VLOOKUP(A25,'BC ADM'!$A$3:$G$51,7,FALSE)</f>
        <v>939.03880100000003</v>
      </c>
      <c r="F25" s="1">
        <f>VLOOKUP(A25,'BC ADM'!$A$3:$I$51,9,FALSE)</f>
        <v>1066.857195</v>
      </c>
      <c r="G25" s="7">
        <f t="shared" si="0"/>
        <v>96058.458900109545</v>
      </c>
      <c r="H25" s="7">
        <f t="shared" si="1"/>
        <v>5262082.38</v>
      </c>
      <c r="I25" s="1">
        <f t="shared" si="2"/>
        <v>7.11</v>
      </c>
      <c r="J25" s="114">
        <f t="shared" si="3"/>
        <v>682975.64277977892</v>
      </c>
      <c r="K25">
        <f t="shared" si="4"/>
        <v>104.39999999999999</v>
      </c>
      <c r="L25" s="1">
        <f t="shared" si="5"/>
        <v>32306.579999999998</v>
      </c>
      <c r="M25" s="7">
        <f t="shared" si="6"/>
        <v>108521.74791395066</v>
      </c>
      <c r="N25" s="7">
        <f t="shared" si="7"/>
        <v>6085886.3506937297</v>
      </c>
      <c r="O25" s="115">
        <f t="shared" si="8"/>
        <v>2.61</v>
      </c>
      <c r="P25" s="9">
        <f t="shared" si="9"/>
        <v>252802.66</v>
      </c>
      <c r="Q25">
        <f t="shared" si="10"/>
        <v>1.07</v>
      </c>
      <c r="R25" s="9">
        <f t="shared" si="11"/>
        <v>110281.39</v>
      </c>
      <c r="S25">
        <f t="shared" si="12"/>
        <v>4.2699999999999996</v>
      </c>
      <c r="T25" s="9">
        <f t="shared" si="13"/>
        <v>413589.02982502495</v>
      </c>
      <c r="U25" s="9">
        <f t="shared" si="14"/>
        <v>256365.52789230295</v>
      </c>
      <c r="V25" s="9">
        <f t="shared" si="15"/>
        <v>38618.662478921935</v>
      </c>
      <c r="W25" s="9">
        <f t="shared" si="16"/>
        <v>260106.67811965643</v>
      </c>
      <c r="X25" s="9">
        <f t="shared" si="17"/>
        <v>40007.144812500002</v>
      </c>
      <c r="Y25" s="9">
        <f t="shared" si="18"/>
        <v>1371771.0931284062</v>
      </c>
      <c r="Z25" s="1">
        <f t="shared" si="19"/>
        <v>124982.49362742857</v>
      </c>
      <c r="AA25" s="1">
        <f t="shared" si="20"/>
        <v>99903.766923999996</v>
      </c>
      <c r="AB25">
        <f t="shared" si="21"/>
        <v>0.81179000000000001</v>
      </c>
      <c r="AC25" s="116">
        <f t="shared" si="22"/>
        <v>2</v>
      </c>
      <c r="AD25" s="7">
        <f t="shared" si="23"/>
        <v>209375.6888092205</v>
      </c>
      <c r="AE25" s="117">
        <f t="shared" si="24"/>
        <v>2</v>
      </c>
      <c r="AF25" s="118">
        <f t="shared" si="25"/>
        <v>2</v>
      </c>
      <c r="AG25" s="9">
        <f t="shared" si="26"/>
        <v>149601.28389517107</v>
      </c>
      <c r="AH25" s="115">
        <f t="shared" si="27"/>
        <v>1</v>
      </c>
      <c r="AI25" s="9">
        <f t="shared" si="28"/>
        <v>82081.329872402013</v>
      </c>
      <c r="AJ25" s="119">
        <f t="shared" si="29"/>
        <v>1</v>
      </c>
      <c r="AK25" s="119">
        <f t="shared" si="30"/>
        <v>1</v>
      </c>
      <c r="AL25" s="9">
        <f t="shared" si="31"/>
        <v>69739.021360782121</v>
      </c>
      <c r="AM25" s="9">
        <f t="shared" si="32"/>
        <v>33072.573045000005</v>
      </c>
      <c r="AN25" s="7">
        <f t="shared" si="33"/>
        <v>768756.15753400419</v>
      </c>
      <c r="AO25">
        <f t="shared" si="34"/>
        <v>0.78961899999999996</v>
      </c>
      <c r="AP25" s="11">
        <f t="shared" si="35"/>
        <v>2.37</v>
      </c>
      <c r="AQ25" s="9">
        <f t="shared" si="36"/>
        <v>242444.24</v>
      </c>
      <c r="AR25" s="1">
        <f t="shared" si="37"/>
        <v>2.6671429875000001</v>
      </c>
      <c r="AS25">
        <f>VLOOKUP(A25,'ADM Data'!$A$2:$T$50,20,FALSE)</f>
        <v>1</v>
      </c>
      <c r="AT25" s="9">
        <f t="shared" si="38"/>
        <v>2.6671429875000001</v>
      </c>
      <c r="AU25" s="1">
        <f t="shared" si="39"/>
        <v>152042.93994420063</v>
      </c>
      <c r="AV25" s="9">
        <f t="shared" si="40"/>
        <v>1474352.336610693</v>
      </c>
      <c r="AW25" s="9">
        <f t="shared" si="41"/>
        <v>1868839.5165548937</v>
      </c>
      <c r="AX25" s="7">
        <f t="shared" si="42"/>
        <v>10095253.117911033</v>
      </c>
      <c r="AY25">
        <f t="shared" si="43"/>
        <v>4.0968663687216904E-2</v>
      </c>
    </row>
    <row r="26" spans="1:51" x14ac:dyDescent="0.25">
      <c r="A26" t="s">
        <v>139</v>
      </c>
      <c r="B26" t="s">
        <v>140</v>
      </c>
      <c r="C26" t="s">
        <v>220</v>
      </c>
      <c r="D26" s="1">
        <f>VLOOKUP(A26,'BC ADM'!$A$3:$H$51,8,FALSE)</f>
        <v>71.2</v>
      </c>
      <c r="E26" s="1">
        <f>VLOOKUP(A26,'BC ADM'!$A$3:$G$51,7,FALSE)</f>
        <v>1329.8249049999999</v>
      </c>
      <c r="F26" s="1">
        <f>VLOOKUP(A26,'BC ADM'!$A$3:$I$51,9,FALSE)</f>
        <v>1347.3865249999999</v>
      </c>
      <c r="G26" s="7">
        <f t="shared" si="0"/>
        <v>96058.458900109545</v>
      </c>
      <c r="H26" s="7">
        <f t="shared" si="1"/>
        <v>6839362.2699999996</v>
      </c>
      <c r="I26" s="1">
        <f t="shared" si="2"/>
        <v>8.98</v>
      </c>
      <c r="J26" s="114">
        <f t="shared" si="3"/>
        <v>862604.96092298371</v>
      </c>
      <c r="K26">
        <f t="shared" si="4"/>
        <v>104.39999999999999</v>
      </c>
      <c r="L26" s="1">
        <f t="shared" si="5"/>
        <v>41853.96</v>
      </c>
      <c r="M26" s="7">
        <f t="shared" si="6"/>
        <v>140592.56338246187</v>
      </c>
      <c r="N26" s="7">
        <f t="shared" si="7"/>
        <v>7884413.7543054447</v>
      </c>
      <c r="O26" s="115">
        <f t="shared" si="8"/>
        <v>3.69</v>
      </c>
      <c r="P26" s="9">
        <f t="shared" si="9"/>
        <v>357410.66</v>
      </c>
      <c r="Q26">
        <f t="shared" si="10"/>
        <v>1.35</v>
      </c>
      <c r="R26" s="9">
        <f t="shared" si="11"/>
        <v>139140.07999999999</v>
      </c>
      <c r="S26">
        <f t="shared" si="12"/>
        <v>5.39</v>
      </c>
      <c r="T26" s="9">
        <f t="shared" si="13"/>
        <v>522071.39830372005</v>
      </c>
      <c r="U26" s="9">
        <f t="shared" si="14"/>
        <v>323776.65855888108</v>
      </c>
      <c r="V26" s="9">
        <f t="shared" si="15"/>
        <v>48773.411925691238</v>
      </c>
      <c r="W26" s="9">
        <f t="shared" si="16"/>
        <v>328501.54154037213</v>
      </c>
      <c r="X26" s="9">
        <f t="shared" si="17"/>
        <v>50526.994687499995</v>
      </c>
      <c r="Y26" s="9">
        <f t="shared" si="18"/>
        <v>1770200.7450161644</v>
      </c>
      <c r="Z26" s="1">
        <f t="shared" si="19"/>
        <v>132420.52843428572</v>
      </c>
      <c r="AA26" s="1">
        <f t="shared" si="20"/>
        <v>106412.04737999999</v>
      </c>
      <c r="AB26">
        <f t="shared" si="21"/>
        <v>0.81179000000000001</v>
      </c>
      <c r="AC26" s="116">
        <f t="shared" si="22"/>
        <v>2</v>
      </c>
      <c r="AD26" s="7">
        <f t="shared" si="23"/>
        <v>221451.93336093763</v>
      </c>
      <c r="AE26" s="117">
        <f t="shared" si="24"/>
        <v>2</v>
      </c>
      <c r="AF26" s="118">
        <f t="shared" si="25"/>
        <v>2</v>
      </c>
      <c r="AG26" s="9">
        <f t="shared" si="26"/>
        <v>149601.28389517107</v>
      </c>
      <c r="AH26" s="115">
        <f t="shared" si="27"/>
        <v>1</v>
      </c>
      <c r="AI26" s="9">
        <f t="shared" si="28"/>
        <v>82081.329872402013</v>
      </c>
      <c r="AJ26" s="119">
        <f t="shared" si="29"/>
        <v>1</v>
      </c>
      <c r="AK26" s="119">
        <f t="shared" si="30"/>
        <v>1</v>
      </c>
      <c r="AL26" s="9">
        <f t="shared" si="31"/>
        <v>69739.021360782121</v>
      </c>
      <c r="AM26" s="9">
        <f t="shared" si="32"/>
        <v>41768.982274999995</v>
      </c>
      <c r="AN26" s="7">
        <f t="shared" si="33"/>
        <v>803475.12657857849</v>
      </c>
      <c r="AO26">
        <f t="shared" si="34"/>
        <v>0.78961899999999996</v>
      </c>
      <c r="AP26" s="11">
        <f t="shared" si="35"/>
        <v>2.99</v>
      </c>
      <c r="AQ26" s="9">
        <f t="shared" si="36"/>
        <v>323429.39</v>
      </c>
      <c r="AR26" s="1">
        <f t="shared" si="37"/>
        <v>3.3684663124999998</v>
      </c>
      <c r="AS26">
        <f>VLOOKUP(A26,'ADM Data'!$A$2:$T$50,20,FALSE)</f>
        <v>1</v>
      </c>
      <c r="AT26" s="9">
        <f t="shared" si="38"/>
        <v>3</v>
      </c>
      <c r="AU26" s="1">
        <f t="shared" si="39"/>
        <v>171017.76019145723</v>
      </c>
      <c r="AV26" s="9">
        <f t="shared" si="40"/>
        <v>1862032.2202087336</v>
      </c>
      <c r="AW26" s="9">
        <f t="shared" si="41"/>
        <v>2356479.3704001908</v>
      </c>
      <c r="AX26" s="7">
        <f t="shared" si="42"/>
        <v>12814568.996300379</v>
      </c>
      <c r="AY26">
        <f t="shared" si="43"/>
        <v>4.0740457088681195E-2</v>
      </c>
    </row>
    <row r="27" spans="1:51" x14ac:dyDescent="0.25">
      <c r="A27" t="s">
        <v>141</v>
      </c>
      <c r="B27" t="s">
        <v>142</v>
      </c>
      <c r="C27" t="s">
        <v>221</v>
      </c>
      <c r="D27" s="1">
        <f>VLOOKUP(A27,'BC ADM'!$A$3:$H$51,8,FALSE)</f>
        <v>41.14</v>
      </c>
      <c r="E27" s="1">
        <f>VLOOKUP(A27,'BC ADM'!$A$3:$G$51,7,FALSE)</f>
        <v>771.96822899999995</v>
      </c>
      <c r="F27" s="1">
        <f>VLOOKUP(A27,'BC ADM'!$A$3:$I$51,9,FALSE)</f>
        <v>771.96822900000006</v>
      </c>
      <c r="G27" s="7">
        <f t="shared" si="0"/>
        <v>96058.458900109545</v>
      </c>
      <c r="H27" s="7">
        <f t="shared" si="1"/>
        <v>3951845</v>
      </c>
      <c r="I27" s="1">
        <f t="shared" si="2"/>
        <v>6</v>
      </c>
      <c r="J27" s="114">
        <f t="shared" si="3"/>
        <v>576350.75340065733</v>
      </c>
      <c r="K27">
        <f t="shared" si="4"/>
        <v>104.39999999999999</v>
      </c>
      <c r="L27" s="1">
        <f t="shared" si="5"/>
        <v>24607.079999999994</v>
      </c>
      <c r="M27" s="7">
        <f t="shared" si="6"/>
        <v>82658.187052248089</v>
      </c>
      <c r="N27" s="7">
        <f t="shared" si="7"/>
        <v>4635461.0204529054</v>
      </c>
      <c r="O27" s="115">
        <f t="shared" si="8"/>
        <v>2.14</v>
      </c>
      <c r="P27" s="9">
        <f t="shared" si="9"/>
        <v>207278.81</v>
      </c>
      <c r="Q27">
        <f t="shared" si="10"/>
        <v>0.77</v>
      </c>
      <c r="R27" s="9">
        <f t="shared" si="11"/>
        <v>79361.38</v>
      </c>
      <c r="S27">
        <f t="shared" si="12"/>
        <v>3.09</v>
      </c>
      <c r="T27" s="9">
        <f t="shared" si="13"/>
        <v>299295.10589211411</v>
      </c>
      <c r="U27" s="9">
        <f t="shared" si="14"/>
        <v>185503.78014151295</v>
      </c>
      <c r="V27" s="9">
        <f t="shared" si="15"/>
        <v>27944.115313579638</v>
      </c>
      <c r="W27" s="9">
        <f t="shared" si="16"/>
        <v>188210.84265088005</v>
      </c>
      <c r="X27" s="9">
        <f t="shared" si="17"/>
        <v>28948.808587500003</v>
      </c>
      <c r="Y27" s="9">
        <f t="shared" si="18"/>
        <v>1016542.8425855868</v>
      </c>
      <c r="Z27" s="1">
        <f t="shared" si="19"/>
        <v>117163.72332891428</v>
      </c>
      <c r="AA27" s="1">
        <f t="shared" si="20"/>
        <v>93062.342912799999</v>
      </c>
      <c r="AB27">
        <f t="shared" si="21"/>
        <v>0.81179000000000001</v>
      </c>
      <c r="AC27" s="116">
        <f t="shared" si="22"/>
        <v>2</v>
      </c>
      <c r="AD27" s="7">
        <f t="shared" si="23"/>
        <v>196681.28972795862</v>
      </c>
      <c r="AE27" s="117">
        <f t="shared" si="24"/>
        <v>2</v>
      </c>
      <c r="AF27" s="118">
        <f t="shared" si="25"/>
        <v>2</v>
      </c>
      <c r="AG27" s="9">
        <f t="shared" si="26"/>
        <v>149601.28389517107</v>
      </c>
      <c r="AH27" s="115">
        <f t="shared" si="27"/>
        <v>1</v>
      </c>
      <c r="AI27" s="9">
        <f t="shared" si="28"/>
        <v>82081.329872402013</v>
      </c>
      <c r="AJ27" s="119">
        <f t="shared" si="29"/>
        <v>1</v>
      </c>
      <c r="AK27" s="119">
        <f t="shared" si="30"/>
        <v>1</v>
      </c>
      <c r="AL27" s="9">
        <f t="shared" si="31"/>
        <v>69739.021360782121</v>
      </c>
      <c r="AM27" s="9">
        <f t="shared" si="32"/>
        <v>23931.015099000004</v>
      </c>
      <c r="AN27" s="7">
        <f t="shared" si="33"/>
        <v>732260.00619702809</v>
      </c>
      <c r="AO27">
        <f t="shared" si="34"/>
        <v>0.78961899999999996</v>
      </c>
      <c r="AP27" s="11">
        <f t="shared" si="35"/>
        <v>1.72</v>
      </c>
      <c r="AQ27" s="9">
        <f t="shared" si="36"/>
        <v>165332.07999999999</v>
      </c>
      <c r="AR27" s="1">
        <f t="shared" si="37"/>
        <v>1.9299205725000002</v>
      </c>
      <c r="AS27">
        <f>VLOOKUP(A27,'ADM Data'!$A$2:$T$50,20,FALSE)</f>
        <v>1</v>
      </c>
      <c r="AT27" s="9">
        <f t="shared" si="38"/>
        <v>1.9299205725000002</v>
      </c>
      <c r="AU27" s="1">
        <f t="shared" si="39"/>
        <v>110016.89788545496</v>
      </c>
      <c r="AV27" s="9">
        <f t="shared" si="40"/>
        <v>1066828.0324203735</v>
      </c>
      <c r="AW27" s="9">
        <f t="shared" si="41"/>
        <v>1342177.0103058284</v>
      </c>
      <c r="AX27" s="7">
        <f t="shared" si="42"/>
        <v>7726440.8795413487</v>
      </c>
      <c r="AY27">
        <f t="shared" si="43"/>
        <v>3.8736477837371434E-2</v>
      </c>
    </row>
    <row r="28" spans="1:51" x14ac:dyDescent="0.25">
      <c r="A28" t="s">
        <v>143</v>
      </c>
      <c r="B28" t="s">
        <v>144</v>
      </c>
      <c r="C28" t="s">
        <v>222</v>
      </c>
      <c r="D28" s="1">
        <f>VLOOKUP(A28,'BC ADM'!$A$3:$H$51,8,FALSE)</f>
        <v>113.64</v>
      </c>
      <c r="E28" s="1">
        <f>VLOOKUP(A28,'BC ADM'!$A$3:$G$51,7,FALSE)</f>
        <v>2063.9516410000001</v>
      </c>
      <c r="F28" s="1">
        <f>VLOOKUP(A28,'BC ADM'!$A$3:$I$51,9,FALSE)</f>
        <v>2195.4556480000001</v>
      </c>
      <c r="G28" s="7">
        <f t="shared" si="0"/>
        <v>96058.458900109545</v>
      </c>
      <c r="H28" s="7">
        <f t="shared" si="1"/>
        <v>10916083.27</v>
      </c>
      <c r="I28" s="1">
        <f t="shared" si="2"/>
        <v>14.64</v>
      </c>
      <c r="J28" s="114">
        <f t="shared" si="3"/>
        <v>1406295.8382976039</v>
      </c>
      <c r="K28">
        <f t="shared" si="4"/>
        <v>104.39999999999999</v>
      </c>
      <c r="L28" s="1">
        <f t="shared" si="5"/>
        <v>66962.159999999989</v>
      </c>
      <c r="M28" s="7">
        <f t="shared" si="6"/>
        <v>224934.07371791228</v>
      </c>
      <c r="N28" s="7">
        <f t="shared" si="7"/>
        <v>12614275.342015516</v>
      </c>
      <c r="O28" s="115">
        <f t="shared" si="8"/>
        <v>5.73</v>
      </c>
      <c r="P28" s="9">
        <f t="shared" si="9"/>
        <v>555003.55000000005</v>
      </c>
      <c r="Q28">
        <f t="shared" si="10"/>
        <v>2.2000000000000002</v>
      </c>
      <c r="R28" s="9">
        <f t="shared" si="11"/>
        <v>226746.79</v>
      </c>
      <c r="S28">
        <f t="shared" si="12"/>
        <v>8.7799999999999994</v>
      </c>
      <c r="T28" s="9">
        <f t="shared" si="13"/>
        <v>850424.28146691318</v>
      </c>
      <c r="U28" s="9">
        <f t="shared" si="14"/>
        <v>527567.46526291932</v>
      </c>
      <c r="V28" s="9">
        <f t="shared" si="15"/>
        <v>79472.26775515615</v>
      </c>
      <c r="W28" s="9">
        <f t="shared" si="16"/>
        <v>535266.27390868159</v>
      </c>
      <c r="X28" s="9">
        <f t="shared" si="17"/>
        <v>82329.586800000005</v>
      </c>
      <c r="Y28" s="9">
        <f t="shared" si="18"/>
        <v>2856810.2151936702</v>
      </c>
      <c r="Z28" s="1">
        <f t="shared" si="19"/>
        <v>154906.47546697143</v>
      </c>
      <c r="AA28" s="1">
        <f t="shared" si="20"/>
        <v>126087.2510336</v>
      </c>
      <c r="AB28">
        <f t="shared" si="21"/>
        <v>0.81179000000000001</v>
      </c>
      <c r="AC28" s="116">
        <f t="shared" si="22"/>
        <v>2.93</v>
      </c>
      <c r="AD28" s="7">
        <f t="shared" si="23"/>
        <v>377910.91251284897</v>
      </c>
      <c r="AE28" s="117">
        <f t="shared" si="24"/>
        <v>2.58</v>
      </c>
      <c r="AF28" s="118">
        <f t="shared" si="25"/>
        <v>2.5828889976470588</v>
      </c>
      <c r="AG28" s="9">
        <f t="shared" si="26"/>
        <v>192985.65622477068</v>
      </c>
      <c r="AH28" s="115">
        <f t="shared" si="27"/>
        <v>1</v>
      </c>
      <c r="AI28" s="9">
        <f t="shared" si="28"/>
        <v>82081.329872402013</v>
      </c>
      <c r="AJ28" s="119">
        <f t="shared" si="29"/>
        <v>1.31</v>
      </c>
      <c r="AK28" s="119">
        <f t="shared" si="30"/>
        <v>1.31</v>
      </c>
      <c r="AL28" s="9">
        <f t="shared" si="31"/>
        <v>91358.117982624579</v>
      </c>
      <c r="AM28" s="9">
        <f t="shared" si="32"/>
        <v>68059.125088000001</v>
      </c>
      <c r="AN28" s="7">
        <f t="shared" si="33"/>
        <v>1093388.8681812177</v>
      </c>
      <c r="AO28">
        <f t="shared" si="34"/>
        <v>0.78961899999999996</v>
      </c>
      <c r="AP28" s="11">
        <f t="shared" si="35"/>
        <v>4.88</v>
      </c>
      <c r="AQ28" s="9">
        <f t="shared" si="36"/>
        <v>614517.39</v>
      </c>
      <c r="AR28" s="1">
        <f t="shared" si="37"/>
        <v>5.4886391200000002</v>
      </c>
      <c r="AS28">
        <f>VLOOKUP(A28,'ADM Data'!$A$2:$T$50,20,FALSE)</f>
        <v>2</v>
      </c>
      <c r="AT28" s="9">
        <f t="shared" si="38"/>
        <v>5.4886391200000002</v>
      </c>
      <c r="AU28" s="1">
        <f t="shared" si="39"/>
        <v>312884.92293387034</v>
      </c>
      <c r="AV28" s="9">
        <f t="shared" si="40"/>
        <v>3034028.52764558</v>
      </c>
      <c r="AW28" s="9">
        <f t="shared" si="41"/>
        <v>3961430.8405794501</v>
      </c>
      <c r="AX28" s="7">
        <f t="shared" si="42"/>
        <v>20525905.265969854</v>
      </c>
      <c r="AY28">
        <f t="shared" si="43"/>
        <v>4.1431755162430854E-2</v>
      </c>
    </row>
    <row r="29" spans="1:51" x14ac:dyDescent="0.25">
      <c r="A29" t="s">
        <v>145</v>
      </c>
      <c r="B29" t="s">
        <v>146</v>
      </c>
      <c r="C29" t="s">
        <v>223</v>
      </c>
      <c r="D29" s="1">
        <f>VLOOKUP(A29,'BC ADM'!$A$3:$H$51,8,FALSE)</f>
        <v>60.32</v>
      </c>
      <c r="E29" s="1">
        <f>VLOOKUP(A29,'BC ADM'!$A$3:$G$51,7,FALSE)</f>
        <v>1139.0677069999999</v>
      </c>
      <c r="F29" s="1">
        <f>VLOOKUP(A29,'BC ADM'!$A$3:$I$51,9,FALSE)</f>
        <v>1157.2874979999999</v>
      </c>
      <c r="G29" s="7">
        <f t="shared" si="0"/>
        <v>96058.458900109545</v>
      </c>
      <c r="H29" s="7">
        <f t="shared" si="1"/>
        <v>5794246.2400000002</v>
      </c>
      <c r="I29" s="1">
        <f t="shared" si="2"/>
        <v>7.72</v>
      </c>
      <c r="J29" s="114">
        <f t="shared" si="3"/>
        <v>741571.3027088457</v>
      </c>
      <c r="K29">
        <f t="shared" si="4"/>
        <v>104.39999999999999</v>
      </c>
      <c r="L29" s="1">
        <f t="shared" si="5"/>
        <v>35516.880000000005</v>
      </c>
      <c r="M29" s="7">
        <f t="shared" si="6"/>
        <v>119305.53769696565</v>
      </c>
      <c r="N29" s="7">
        <f t="shared" si="7"/>
        <v>6690639.9604058117</v>
      </c>
      <c r="O29" s="115">
        <f t="shared" si="8"/>
        <v>3.16</v>
      </c>
      <c r="P29" s="9">
        <f t="shared" si="9"/>
        <v>306075.25</v>
      </c>
      <c r="Q29">
        <f t="shared" si="10"/>
        <v>1.1599999999999999</v>
      </c>
      <c r="R29" s="9">
        <f t="shared" si="11"/>
        <v>119557.4</v>
      </c>
      <c r="S29">
        <f t="shared" si="12"/>
        <v>4.63</v>
      </c>
      <c r="T29" s="9">
        <f t="shared" si="13"/>
        <v>448458.36255031981</v>
      </c>
      <c r="U29" s="9">
        <f t="shared" si="14"/>
        <v>278095.90799819509</v>
      </c>
      <c r="V29" s="9">
        <f t="shared" si="15"/>
        <v>41892.106540405381</v>
      </c>
      <c r="W29" s="9">
        <f t="shared" si="16"/>
        <v>282154.17034722114</v>
      </c>
      <c r="X29" s="9">
        <f t="shared" si="17"/>
        <v>43398.281174999996</v>
      </c>
      <c r="Y29" s="9">
        <f t="shared" si="18"/>
        <v>1519631.4786111414</v>
      </c>
      <c r="Z29" s="1">
        <f t="shared" si="19"/>
        <v>127380.18851839998</v>
      </c>
      <c r="AA29" s="1">
        <f t="shared" si="20"/>
        <v>102001.7499536</v>
      </c>
      <c r="AB29">
        <f t="shared" si="21"/>
        <v>0.81179000000000001</v>
      </c>
      <c r="AC29" s="116">
        <f t="shared" si="22"/>
        <v>2</v>
      </c>
      <c r="AD29" s="7">
        <f t="shared" si="23"/>
        <v>213268.53828030388</v>
      </c>
      <c r="AE29" s="117">
        <f t="shared" si="24"/>
        <v>2</v>
      </c>
      <c r="AF29" s="118">
        <f t="shared" si="25"/>
        <v>2</v>
      </c>
      <c r="AG29" s="9">
        <f t="shared" si="26"/>
        <v>149601.28389517107</v>
      </c>
      <c r="AH29" s="115">
        <f t="shared" si="27"/>
        <v>1</v>
      </c>
      <c r="AI29" s="9">
        <f t="shared" si="28"/>
        <v>82081.329872402013</v>
      </c>
      <c r="AJ29" s="119">
        <f t="shared" si="29"/>
        <v>1</v>
      </c>
      <c r="AK29" s="119">
        <f t="shared" si="30"/>
        <v>1</v>
      </c>
      <c r="AL29" s="9">
        <f t="shared" si="31"/>
        <v>69739.021360782121</v>
      </c>
      <c r="AM29" s="9">
        <f t="shared" si="32"/>
        <v>35875.912437999999</v>
      </c>
      <c r="AN29" s="7">
        <f t="shared" si="33"/>
        <v>779948.0243186591</v>
      </c>
      <c r="AO29">
        <f t="shared" si="34"/>
        <v>0.78961899999999996</v>
      </c>
      <c r="AP29" s="11">
        <f t="shared" si="35"/>
        <v>2.57</v>
      </c>
      <c r="AQ29" s="9">
        <f t="shared" si="36"/>
        <v>267769.37</v>
      </c>
      <c r="AR29" s="1">
        <f t="shared" si="37"/>
        <v>2.893218745</v>
      </c>
      <c r="AS29">
        <f>VLOOKUP(A29,'ADM Data'!$A$2:$T$50,20,FALSE)</f>
        <v>2</v>
      </c>
      <c r="AT29" s="9">
        <f t="shared" si="38"/>
        <v>2.893218745</v>
      </c>
      <c r="AU29" s="1">
        <f t="shared" si="39"/>
        <v>164930.59650461297</v>
      </c>
      <c r="AV29" s="9">
        <f t="shared" si="40"/>
        <v>1599323.2597607805</v>
      </c>
      <c r="AW29" s="9">
        <f t="shared" si="41"/>
        <v>2032023.2262653934</v>
      </c>
      <c r="AX29" s="7">
        <f t="shared" si="42"/>
        <v>11022242.689601006</v>
      </c>
      <c r="AY29">
        <f t="shared" si="43"/>
        <v>4.0686671050476894E-2</v>
      </c>
    </row>
    <row r="30" spans="1:51" x14ac:dyDescent="0.25">
      <c r="A30" t="s">
        <v>147</v>
      </c>
      <c r="B30" t="s">
        <v>148</v>
      </c>
      <c r="C30" t="s">
        <v>224</v>
      </c>
      <c r="D30" s="1">
        <f>VLOOKUP(A30,'BC ADM'!$A$3:$H$51,8,FALSE)</f>
        <v>55.5</v>
      </c>
      <c r="E30" s="1">
        <f>VLOOKUP(A30,'BC ADM'!$A$3:$G$51,7,FALSE)</f>
        <v>1010.2053550000001</v>
      </c>
      <c r="F30" s="1">
        <f>VLOOKUP(A30,'BC ADM'!$A$3:$I$51,9,FALSE)</f>
        <v>1111.0302489999999</v>
      </c>
      <c r="G30" s="7">
        <f t="shared" si="0"/>
        <v>96058.458900109545</v>
      </c>
      <c r="H30" s="7">
        <f t="shared" si="1"/>
        <v>5331244.47</v>
      </c>
      <c r="I30" s="1">
        <f t="shared" si="2"/>
        <v>7.41</v>
      </c>
      <c r="J30" s="114">
        <f t="shared" si="3"/>
        <v>711793.18044981174</v>
      </c>
      <c r="K30">
        <f t="shared" si="4"/>
        <v>104.39999999999999</v>
      </c>
      <c r="L30" s="1">
        <f t="shared" si="5"/>
        <v>32839.019999999997</v>
      </c>
      <c r="M30" s="7">
        <f t="shared" si="6"/>
        <v>110310.27890235314</v>
      </c>
      <c r="N30" s="7">
        <f t="shared" si="7"/>
        <v>6186186.9493521638</v>
      </c>
      <c r="O30" s="115">
        <f t="shared" si="8"/>
        <v>2.81</v>
      </c>
      <c r="P30" s="9">
        <f t="shared" si="9"/>
        <v>272174.51</v>
      </c>
      <c r="Q30">
        <f t="shared" si="10"/>
        <v>1.1100000000000001</v>
      </c>
      <c r="R30" s="9">
        <f t="shared" si="11"/>
        <v>114404.06</v>
      </c>
      <c r="S30">
        <f t="shared" si="12"/>
        <v>4.4400000000000004</v>
      </c>
      <c r="T30" s="9">
        <f t="shared" si="13"/>
        <v>430055.1036119698</v>
      </c>
      <c r="U30" s="9">
        <f t="shared" si="14"/>
        <v>266980.30216612236</v>
      </c>
      <c r="V30" s="9">
        <f t="shared" si="15"/>
        <v>40217.662111753947</v>
      </c>
      <c r="W30" s="9">
        <f t="shared" si="16"/>
        <v>270876.35412895604</v>
      </c>
      <c r="X30" s="9">
        <f t="shared" si="17"/>
        <v>41663.6343375</v>
      </c>
      <c r="Y30" s="9">
        <f t="shared" si="18"/>
        <v>1436371.6263563023</v>
      </c>
      <c r="Z30" s="1">
        <f t="shared" si="19"/>
        <v>126153.71060205714</v>
      </c>
      <c r="AA30" s="1">
        <f t="shared" si="20"/>
        <v>100928.58177679998</v>
      </c>
      <c r="AB30">
        <f t="shared" si="21"/>
        <v>0.81179000000000001</v>
      </c>
      <c r="AC30" s="116">
        <f t="shared" si="22"/>
        <v>2</v>
      </c>
      <c r="AD30" s="7">
        <f t="shared" si="23"/>
        <v>211277.25326488796</v>
      </c>
      <c r="AE30" s="117">
        <f t="shared" si="24"/>
        <v>2</v>
      </c>
      <c r="AF30" s="118">
        <f t="shared" si="25"/>
        <v>2</v>
      </c>
      <c r="AG30" s="9">
        <f t="shared" si="26"/>
        <v>149601.28389517107</v>
      </c>
      <c r="AH30" s="115">
        <f t="shared" si="27"/>
        <v>1</v>
      </c>
      <c r="AI30" s="9">
        <f t="shared" si="28"/>
        <v>82081.329872402013</v>
      </c>
      <c r="AJ30" s="119">
        <f t="shared" si="29"/>
        <v>1</v>
      </c>
      <c r="AK30" s="119">
        <f t="shared" si="30"/>
        <v>1</v>
      </c>
      <c r="AL30" s="9">
        <f t="shared" si="31"/>
        <v>69739.021360782121</v>
      </c>
      <c r="AM30" s="9">
        <f t="shared" si="32"/>
        <v>34441.937718999994</v>
      </c>
      <c r="AN30" s="7">
        <f t="shared" si="33"/>
        <v>774223.11849110038</v>
      </c>
      <c r="AO30">
        <f t="shared" si="34"/>
        <v>0.78961899999999996</v>
      </c>
      <c r="AP30" s="11">
        <f t="shared" si="35"/>
        <v>2.4700000000000002</v>
      </c>
      <c r="AQ30" s="9">
        <f t="shared" si="36"/>
        <v>254958.25</v>
      </c>
      <c r="AR30" s="1">
        <f t="shared" si="37"/>
        <v>2.7775756224999997</v>
      </c>
      <c r="AS30">
        <f>VLOOKUP(A30,'ADM Data'!$A$2:$T$50,20,FALSE)</f>
        <v>1</v>
      </c>
      <c r="AT30" s="9">
        <f t="shared" si="38"/>
        <v>2.7775756224999997</v>
      </c>
      <c r="AU30" s="1">
        <f t="shared" si="39"/>
        <v>158338.25390744751</v>
      </c>
      <c r="AV30" s="9">
        <f t="shared" si="40"/>
        <v>1535397.6627193389</v>
      </c>
      <c r="AW30" s="9">
        <f t="shared" si="41"/>
        <v>1948694.1666267863</v>
      </c>
      <c r="AX30" s="7">
        <f t="shared" si="42"/>
        <v>10345475.860826353</v>
      </c>
      <c r="AY30">
        <f t="shared" si="43"/>
        <v>4.1569388339147778E-2</v>
      </c>
    </row>
    <row r="31" spans="1:51" x14ac:dyDescent="0.25">
      <c r="A31" t="s">
        <v>149</v>
      </c>
      <c r="B31" t="s">
        <v>150</v>
      </c>
      <c r="C31" t="s">
        <v>225</v>
      </c>
      <c r="D31" s="1">
        <f>VLOOKUP(A31,'BC ADM'!$A$3:$H$51,8,FALSE)</f>
        <v>115.85</v>
      </c>
      <c r="E31" s="1">
        <f>VLOOKUP(A31,'BC ADM'!$A$3:$G$51,7,FALSE)</f>
        <v>2066.3369819999998</v>
      </c>
      <c r="F31" s="1">
        <f>VLOOKUP(A31,'BC ADM'!$A$3:$I$51,9,FALSE)</f>
        <v>2185.86247</v>
      </c>
      <c r="G31" s="7">
        <f t="shared" si="0"/>
        <v>96058.458900109545</v>
      </c>
      <c r="H31" s="7">
        <f t="shared" si="1"/>
        <v>11128372.460000001</v>
      </c>
      <c r="I31" s="1">
        <f t="shared" si="2"/>
        <v>14.57</v>
      </c>
      <c r="J31" s="114">
        <f t="shared" si="3"/>
        <v>1399571.746174596</v>
      </c>
      <c r="K31">
        <f t="shared" si="4"/>
        <v>104.39999999999999</v>
      </c>
      <c r="L31" s="1">
        <f t="shared" si="5"/>
        <v>68079.239999999991</v>
      </c>
      <c r="M31" s="7">
        <f t="shared" si="6"/>
        <v>228686.4818700508</v>
      </c>
      <c r="N31" s="7">
        <f t="shared" si="7"/>
        <v>12824709.928044649</v>
      </c>
      <c r="O31" s="115">
        <f t="shared" si="8"/>
        <v>5.74</v>
      </c>
      <c r="P31" s="9">
        <f t="shared" si="9"/>
        <v>555972.14</v>
      </c>
      <c r="Q31">
        <f t="shared" si="10"/>
        <v>2.19</v>
      </c>
      <c r="R31" s="9">
        <f t="shared" si="11"/>
        <v>225716.13</v>
      </c>
      <c r="S31">
        <f t="shared" si="12"/>
        <v>8.74</v>
      </c>
      <c r="T31" s="9">
        <f t="shared" si="13"/>
        <v>846549.91116410273</v>
      </c>
      <c r="U31" s="9">
        <f t="shared" si="14"/>
        <v>525262.22689206607</v>
      </c>
      <c r="V31" s="9">
        <f t="shared" si="15"/>
        <v>79125.00881083023</v>
      </c>
      <c r="W31" s="9">
        <f t="shared" si="16"/>
        <v>532927.39512163773</v>
      </c>
      <c r="X31" s="9">
        <f t="shared" si="17"/>
        <v>81969.842625000005</v>
      </c>
      <c r="Y31" s="9">
        <f t="shared" si="18"/>
        <v>2847522.6546136369</v>
      </c>
      <c r="Z31" s="1">
        <f t="shared" si="19"/>
        <v>154652.11920457141</v>
      </c>
      <c r="AA31" s="1">
        <f t="shared" si="20"/>
        <v>125864.689304</v>
      </c>
      <c r="AB31">
        <f t="shared" si="21"/>
        <v>0.81179000000000001</v>
      </c>
      <c r="AC31" s="116">
        <f t="shared" si="22"/>
        <v>2.91</v>
      </c>
      <c r="AD31" s="7">
        <f t="shared" si="23"/>
        <v>374730.44777796796</v>
      </c>
      <c r="AE31" s="117">
        <f t="shared" si="24"/>
        <v>2.57</v>
      </c>
      <c r="AF31" s="118">
        <f t="shared" si="25"/>
        <v>2.5716029058823531</v>
      </c>
      <c r="AG31" s="9">
        <f t="shared" si="26"/>
        <v>192237.64980529482</v>
      </c>
      <c r="AH31" s="115">
        <f t="shared" si="27"/>
        <v>1</v>
      </c>
      <c r="AI31" s="9">
        <f t="shared" si="28"/>
        <v>82081.329872402013</v>
      </c>
      <c r="AJ31" s="119">
        <f t="shared" si="29"/>
        <v>1.3033333333333335</v>
      </c>
      <c r="AK31" s="119">
        <f t="shared" si="30"/>
        <v>1.3033333333333335</v>
      </c>
      <c r="AL31" s="9">
        <f t="shared" si="31"/>
        <v>90893.19117355271</v>
      </c>
      <c r="AM31" s="9">
        <f t="shared" si="32"/>
        <v>67761.736570000008</v>
      </c>
      <c r="AN31" s="7">
        <f t="shared" si="33"/>
        <v>1088221.1637077888</v>
      </c>
      <c r="AO31">
        <f t="shared" si="34"/>
        <v>0.78961899999999996</v>
      </c>
      <c r="AP31" s="11">
        <f t="shared" si="35"/>
        <v>4.8600000000000003</v>
      </c>
      <c r="AQ31" s="9">
        <f t="shared" si="36"/>
        <v>611022.77</v>
      </c>
      <c r="AR31" s="1">
        <f t="shared" si="37"/>
        <v>5.464656175</v>
      </c>
      <c r="AS31">
        <f>VLOOKUP(A31,'ADM Data'!$A$2:$T$50,20,FALSE)</f>
        <v>2</v>
      </c>
      <c r="AT31" s="9">
        <f t="shared" si="38"/>
        <v>5.464656175</v>
      </c>
      <c r="AU31" s="1">
        <f t="shared" si="39"/>
        <v>311517.75308830536</v>
      </c>
      <c r="AV31" s="9">
        <f t="shared" si="40"/>
        <v>3020771.1540569598</v>
      </c>
      <c r="AW31" s="9">
        <f t="shared" si="41"/>
        <v>3943311.677145265</v>
      </c>
      <c r="AX31" s="7">
        <f t="shared" si="42"/>
        <v>20703765.423511341</v>
      </c>
      <c r="AY31">
        <f t="shared" si="43"/>
        <v>4.0888693136116906E-2</v>
      </c>
    </row>
    <row r="32" spans="1:51" x14ac:dyDescent="0.25">
      <c r="A32" t="s">
        <v>151</v>
      </c>
      <c r="B32" t="s">
        <v>152</v>
      </c>
      <c r="C32" t="s">
        <v>226</v>
      </c>
      <c r="D32" s="1">
        <f>VLOOKUP(A32,'BC ADM'!$A$3:$H$51,8,FALSE)</f>
        <v>22.7</v>
      </c>
      <c r="E32" s="1">
        <f>VLOOKUP(A32,'BC ADM'!$A$3:$G$51,7,FALSE)</f>
        <v>444.25005700000003</v>
      </c>
      <c r="F32" s="1">
        <f>VLOOKUP(A32,'BC ADM'!$A$3:$I$51,9,FALSE)</f>
        <v>444.91727800000001</v>
      </c>
      <c r="G32" s="7">
        <f t="shared" si="0"/>
        <v>96058.458900109545</v>
      </c>
      <c r="H32" s="7">
        <f t="shared" si="1"/>
        <v>2180527.02</v>
      </c>
      <c r="I32" s="1">
        <f t="shared" si="2"/>
        <v>6</v>
      </c>
      <c r="J32" s="114">
        <f t="shared" si="3"/>
        <v>576350.75340065733</v>
      </c>
      <c r="K32">
        <f t="shared" si="4"/>
        <v>104.39999999999999</v>
      </c>
      <c r="L32" s="1">
        <f t="shared" si="5"/>
        <v>14981.399999999998</v>
      </c>
      <c r="M32" s="7">
        <f t="shared" si="6"/>
        <v>50324.352320736536</v>
      </c>
      <c r="N32" s="7">
        <f t="shared" si="7"/>
        <v>2822183.525721394</v>
      </c>
      <c r="O32" s="115">
        <f t="shared" si="8"/>
        <v>1.23</v>
      </c>
      <c r="P32" s="9">
        <f t="shared" si="9"/>
        <v>119136.89</v>
      </c>
      <c r="Q32">
        <f t="shared" si="10"/>
        <v>0.44</v>
      </c>
      <c r="R32" s="9">
        <f t="shared" si="11"/>
        <v>45349.36</v>
      </c>
      <c r="S32">
        <f t="shared" si="12"/>
        <v>1.78</v>
      </c>
      <c r="T32" s="9">
        <f t="shared" si="13"/>
        <v>172409.47847506896</v>
      </c>
      <c r="U32" s="9">
        <f t="shared" si="14"/>
        <v>106913.51511471646</v>
      </c>
      <c r="V32" s="9">
        <f t="shared" si="15"/>
        <v>16105.351560311386</v>
      </c>
      <c r="W32" s="9">
        <f t="shared" si="16"/>
        <v>108473.70740994037</v>
      </c>
      <c r="X32" s="9">
        <f t="shared" si="17"/>
        <v>16684.397925000001</v>
      </c>
      <c r="Y32" s="9">
        <f t="shared" si="18"/>
        <v>585072.70048503729</v>
      </c>
      <c r="Z32" s="1">
        <f t="shared" si="19"/>
        <v>109952.68</v>
      </c>
      <c r="AA32" s="1">
        <f t="shared" si="20"/>
        <v>86752.68</v>
      </c>
      <c r="AB32">
        <f t="shared" si="21"/>
        <v>0.81179000000000001</v>
      </c>
      <c r="AC32" s="116">
        <f t="shared" si="22"/>
        <v>2</v>
      </c>
      <c r="AD32" s="7">
        <f t="shared" si="23"/>
        <v>184973.58400000003</v>
      </c>
      <c r="AE32" s="117">
        <f t="shared" si="24"/>
        <v>2</v>
      </c>
      <c r="AF32" s="118">
        <f t="shared" si="25"/>
        <v>2</v>
      </c>
      <c r="AG32" s="9">
        <f t="shared" si="26"/>
        <v>149601.28389517107</v>
      </c>
      <c r="AH32" s="115">
        <f t="shared" si="27"/>
        <v>1</v>
      </c>
      <c r="AI32" s="9">
        <f t="shared" si="28"/>
        <v>82081.329872402013</v>
      </c>
      <c r="AJ32" s="119">
        <f t="shared" si="29"/>
        <v>1</v>
      </c>
      <c r="AK32" s="119">
        <f t="shared" si="30"/>
        <v>1</v>
      </c>
      <c r="AL32" s="9">
        <f t="shared" si="31"/>
        <v>69739.021360782121</v>
      </c>
      <c r="AM32" s="9">
        <f t="shared" si="32"/>
        <v>13792.435618</v>
      </c>
      <c r="AN32" s="7">
        <f t="shared" si="33"/>
        <v>696893.01474635524</v>
      </c>
      <c r="AO32">
        <f t="shared" si="34"/>
        <v>0.78961899999999996</v>
      </c>
      <c r="AP32" s="11">
        <f t="shared" si="35"/>
        <v>0.99</v>
      </c>
      <c r="AQ32" s="9">
        <f t="shared" si="36"/>
        <v>89525.03</v>
      </c>
      <c r="AR32" s="1">
        <f t="shared" si="37"/>
        <v>1.1122931950000001</v>
      </c>
      <c r="AS32">
        <f>VLOOKUP(A32,'ADM Data'!$A$2:$T$50,20,FALSE)</f>
        <v>1</v>
      </c>
      <c r="AT32" s="9">
        <f t="shared" si="38"/>
        <v>1.1122931950000001</v>
      </c>
      <c r="AU32" s="1">
        <f t="shared" si="39"/>
        <v>63407.29696169994</v>
      </c>
      <c r="AV32" s="9">
        <f t="shared" si="40"/>
        <v>614857.20065633464</v>
      </c>
      <c r="AW32" s="9">
        <f t="shared" si="41"/>
        <v>767789.52761803451</v>
      </c>
      <c r="AX32" s="7">
        <f t="shared" si="42"/>
        <v>4871938.7685708208</v>
      </c>
      <c r="AY32">
        <f t="shared" si="43"/>
        <v>3.5388268749864671E-2</v>
      </c>
    </row>
    <row r="33" spans="1:51" x14ac:dyDescent="0.25">
      <c r="A33" t="s">
        <v>153</v>
      </c>
      <c r="B33" t="s">
        <v>154</v>
      </c>
      <c r="C33" t="s">
        <v>227</v>
      </c>
      <c r="D33" s="1">
        <f>VLOOKUP(A33,'BC ADM'!$A$3:$H$51,8,FALSE)</f>
        <v>32.18</v>
      </c>
      <c r="E33" s="1">
        <f>VLOOKUP(A33,'BC ADM'!$A$3:$G$51,7,FALSE)</f>
        <v>648.85485600000004</v>
      </c>
      <c r="F33" s="1">
        <f>VLOOKUP(A33,'BC ADM'!$A$3:$I$51,9,FALSE)</f>
        <v>648.85485600000004</v>
      </c>
      <c r="G33" s="7">
        <f t="shared" si="0"/>
        <v>96058.458900109545</v>
      </c>
      <c r="H33" s="7">
        <f t="shared" si="1"/>
        <v>3091161.21</v>
      </c>
      <c r="I33" s="1">
        <f t="shared" si="2"/>
        <v>6</v>
      </c>
      <c r="J33" s="114">
        <f t="shared" si="3"/>
        <v>576350.75340065733</v>
      </c>
      <c r="K33">
        <f t="shared" si="4"/>
        <v>104.39999999999999</v>
      </c>
      <c r="L33" s="1">
        <f t="shared" si="5"/>
        <v>19929.96</v>
      </c>
      <c r="M33" s="7">
        <f t="shared" si="6"/>
        <v>66947.169742359605</v>
      </c>
      <c r="N33" s="7">
        <f t="shared" si="7"/>
        <v>3754389.093143017</v>
      </c>
      <c r="O33" s="115">
        <f t="shared" si="8"/>
        <v>1.8</v>
      </c>
      <c r="P33" s="9">
        <f t="shared" si="9"/>
        <v>174346.66</v>
      </c>
      <c r="Q33">
        <f t="shared" si="10"/>
        <v>0.65</v>
      </c>
      <c r="R33" s="9">
        <f t="shared" si="11"/>
        <v>66993.37</v>
      </c>
      <c r="S33">
        <f t="shared" si="12"/>
        <v>2.6</v>
      </c>
      <c r="T33" s="9">
        <f t="shared" si="13"/>
        <v>251834.06968268502</v>
      </c>
      <c r="U33" s="9">
        <f t="shared" si="14"/>
        <v>155919.66615918471</v>
      </c>
      <c r="V33" s="9">
        <f t="shared" si="15"/>
        <v>23487.592153018657</v>
      </c>
      <c r="W33" s="9">
        <f t="shared" si="16"/>
        <v>158195.00676092645</v>
      </c>
      <c r="X33" s="9">
        <f t="shared" si="17"/>
        <v>24332.057100000002</v>
      </c>
      <c r="Y33" s="9">
        <f t="shared" si="18"/>
        <v>855108.42185581475</v>
      </c>
      <c r="Z33" s="1">
        <f t="shared" si="19"/>
        <v>113899.46018194285</v>
      </c>
      <c r="AA33" s="1">
        <f t="shared" si="20"/>
        <v>90206.112659199993</v>
      </c>
      <c r="AB33">
        <f t="shared" si="21"/>
        <v>0.81179000000000001</v>
      </c>
      <c r="AC33" s="116">
        <f t="shared" si="22"/>
        <v>2</v>
      </c>
      <c r="AD33" s="7">
        <f t="shared" si="23"/>
        <v>191381.49736779876</v>
      </c>
      <c r="AE33" s="117">
        <f t="shared" si="24"/>
        <v>2</v>
      </c>
      <c r="AF33" s="118">
        <f t="shared" si="25"/>
        <v>2</v>
      </c>
      <c r="AG33" s="9">
        <f t="shared" si="26"/>
        <v>149601.28389517107</v>
      </c>
      <c r="AH33" s="115">
        <f t="shared" si="27"/>
        <v>1</v>
      </c>
      <c r="AI33" s="9">
        <f t="shared" si="28"/>
        <v>82081.329872402013</v>
      </c>
      <c r="AJ33" s="119">
        <f t="shared" si="29"/>
        <v>1</v>
      </c>
      <c r="AK33" s="119">
        <f t="shared" si="30"/>
        <v>1</v>
      </c>
      <c r="AL33" s="9">
        <f t="shared" si="31"/>
        <v>69739.021360782121</v>
      </c>
      <c r="AM33" s="9">
        <f t="shared" si="32"/>
        <v>20114.500536</v>
      </c>
      <c r="AN33" s="7">
        <f t="shared" si="33"/>
        <v>717023.20587329671</v>
      </c>
      <c r="AO33">
        <f t="shared" si="34"/>
        <v>0.78961899999999996</v>
      </c>
      <c r="AP33" s="11">
        <f t="shared" si="35"/>
        <v>1.44</v>
      </c>
      <c r="AQ33" s="9">
        <f t="shared" si="36"/>
        <v>134705.92000000001</v>
      </c>
      <c r="AR33" s="1">
        <f t="shared" si="37"/>
        <v>1.6221371400000002</v>
      </c>
      <c r="AS33">
        <f>VLOOKUP(A33,'ADM Data'!$A$2:$T$50,20,FALSE)</f>
        <v>1</v>
      </c>
      <c r="AT33" s="9">
        <f t="shared" si="38"/>
        <v>1.6221371400000002</v>
      </c>
      <c r="AU33" s="1">
        <f t="shared" si="39"/>
        <v>92471.420135392109</v>
      </c>
      <c r="AV33" s="9">
        <f t="shared" si="40"/>
        <v>896690.46386737342</v>
      </c>
      <c r="AW33" s="9">
        <f t="shared" si="41"/>
        <v>1123867.8040027656</v>
      </c>
      <c r="AX33" s="7">
        <f t="shared" si="42"/>
        <v>6450388.5248748939</v>
      </c>
      <c r="AY33">
        <f t="shared" si="43"/>
        <v>3.9041690079834282E-2</v>
      </c>
    </row>
    <row r="34" spans="1:51" x14ac:dyDescent="0.25">
      <c r="A34" t="s">
        <v>155</v>
      </c>
      <c r="B34" t="s">
        <v>156</v>
      </c>
      <c r="C34" t="s">
        <v>228</v>
      </c>
      <c r="D34" s="1">
        <f>VLOOKUP(A34,'BC ADM'!$A$3:$H$51,8,FALSE)</f>
        <v>72.44</v>
      </c>
      <c r="E34" s="1">
        <f>VLOOKUP(A34,'BC ADM'!$A$3:$G$51,7,FALSE)</f>
        <v>1338.4100940000001</v>
      </c>
      <c r="F34" s="1">
        <f>VLOOKUP(A34,'BC ADM'!$A$3:$I$51,9,FALSE)</f>
        <v>1401.3242889999999</v>
      </c>
      <c r="G34" s="7">
        <f t="shared" si="0"/>
        <v>96058.458900109545</v>
      </c>
      <c r="H34" s="7">
        <f t="shared" si="1"/>
        <v>6958474.7599999998</v>
      </c>
      <c r="I34" s="1">
        <f t="shared" si="2"/>
        <v>9.34</v>
      </c>
      <c r="J34" s="114">
        <f t="shared" si="3"/>
        <v>897186.00612702314</v>
      </c>
      <c r="K34">
        <f t="shared" si="4"/>
        <v>104.39999999999999</v>
      </c>
      <c r="L34" s="1">
        <f t="shared" si="5"/>
        <v>42689.159999999989</v>
      </c>
      <c r="M34" s="7">
        <f t="shared" si="6"/>
        <v>143398.10218779909</v>
      </c>
      <c r="N34" s="7">
        <f t="shared" si="7"/>
        <v>8041748.0283148224</v>
      </c>
      <c r="O34" s="115">
        <f t="shared" si="8"/>
        <v>3.72</v>
      </c>
      <c r="P34" s="9">
        <f t="shared" si="9"/>
        <v>360316.44</v>
      </c>
      <c r="Q34">
        <f t="shared" si="10"/>
        <v>1.4</v>
      </c>
      <c r="R34" s="9">
        <f t="shared" si="11"/>
        <v>144293.41</v>
      </c>
      <c r="S34">
        <f t="shared" si="12"/>
        <v>5.61</v>
      </c>
      <c r="T34" s="9">
        <f t="shared" si="13"/>
        <v>543380.43496917805</v>
      </c>
      <c r="U34" s="9">
        <f t="shared" si="14"/>
        <v>336737.89030198276</v>
      </c>
      <c r="V34" s="9">
        <f t="shared" si="15"/>
        <v>50725.879709145374</v>
      </c>
      <c r="W34" s="9">
        <f t="shared" si="16"/>
        <v>341651.91694674693</v>
      </c>
      <c r="X34" s="9">
        <f t="shared" si="17"/>
        <v>52549.6608375</v>
      </c>
      <c r="Y34" s="9">
        <f t="shared" si="18"/>
        <v>1829655.632764553</v>
      </c>
      <c r="Z34" s="1">
        <f t="shared" si="19"/>
        <v>133850.64971977141</v>
      </c>
      <c r="AA34" s="1">
        <f t="shared" si="20"/>
        <v>107663.40350479999</v>
      </c>
      <c r="AB34">
        <f t="shared" si="21"/>
        <v>0.81179000000000001</v>
      </c>
      <c r="AC34" s="116">
        <f t="shared" si="22"/>
        <v>2</v>
      </c>
      <c r="AD34" s="7">
        <f t="shared" si="23"/>
        <v>223773.84967762645</v>
      </c>
      <c r="AE34" s="117">
        <f t="shared" si="24"/>
        <v>2</v>
      </c>
      <c r="AF34" s="118">
        <f t="shared" si="25"/>
        <v>2</v>
      </c>
      <c r="AG34" s="9">
        <f t="shared" si="26"/>
        <v>149601.28389517107</v>
      </c>
      <c r="AH34" s="115">
        <f t="shared" si="27"/>
        <v>1</v>
      </c>
      <c r="AI34" s="9">
        <f t="shared" si="28"/>
        <v>82081.329872402013</v>
      </c>
      <c r="AJ34" s="119">
        <f t="shared" si="29"/>
        <v>1</v>
      </c>
      <c r="AK34" s="119">
        <f t="shared" si="30"/>
        <v>1</v>
      </c>
      <c r="AL34" s="9">
        <f t="shared" si="31"/>
        <v>69739.021360782121</v>
      </c>
      <c r="AM34" s="9">
        <f t="shared" si="32"/>
        <v>43441.052959000001</v>
      </c>
      <c r="AN34" s="7">
        <f t="shared" si="33"/>
        <v>810150.59098955302</v>
      </c>
      <c r="AO34">
        <f t="shared" si="34"/>
        <v>0.78961899999999996</v>
      </c>
      <c r="AP34" s="11">
        <f t="shared" si="35"/>
        <v>3.11</v>
      </c>
      <c r="AQ34" s="9">
        <f t="shared" si="36"/>
        <v>339921.8</v>
      </c>
      <c r="AR34" s="1">
        <f t="shared" si="37"/>
        <v>3.5033107224999998</v>
      </c>
      <c r="AS34">
        <f>VLOOKUP(A34,'ADM Data'!$A$2:$T$50,20,FALSE)</f>
        <v>1</v>
      </c>
      <c r="AT34" s="9">
        <f t="shared" si="38"/>
        <v>3</v>
      </c>
      <c r="AU34" s="1">
        <f t="shared" si="39"/>
        <v>171017.76019145723</v>
      </c>
      <c r="AV34" s="9">
        <f t="shared" si="40"/>
        <v>1936571.9700062275</v>
      </c>
      <c r="AW34" s="9">
        <f t="shared" si="41"/>
        <v>2447511.5301976847</v>
      </c>
      <c r="AX34" s="7">
        <f t="shared" si="42"/>
        <v>13129065.782266613</v>
      </c>
      <c r="AY34">
        <f t="shared" si="43"/>
        <v>4.1387593297241322E-2</v>
      </c>
    </row>
    <row r="35" spans="1:51" x14ac:dyDescent="0.25">
      <c r="A35" t="s">
        <v>157</v>
      </c>
      <c r="B35" t="s">
        <v>158</v>
      </c>
      <c r="C35" t="s">
        <v>229</v>
      </c>
      <c r="D35" s="1">
        <f>VLOOKUP(A35,'BC ADM'!$A$3:$H$51,8,FALSE)</f>
        <v>56.91</v>
      </c>
      <c r="E35" s="1">
        <f>VLOOKUP(A35,'BC ADM'!$A$3:$G$51,7,FALSE)</f>
        <v>1054.948805</v>
      </c>
      <c r="F35" s="1">
        <f>VLOOKUP(A35,'BC ADM'!$A$3:$I$51,9,FALSE)</f>
        <v>1110.5186900000001</v>
      </c>
      <c r="G35" s="7">
        <f t="shared" si="0"/>
        <v>96058.458900109545</v>
      </c>
      <c r="H35" s="7">
        <f t="shared" si="1"/>
        <v>5466686.9000000004</v>
      </c>
      <c r="I35" s="1">
        <f t="shared" si="2"/>
        <v>7.4</v>
      </c>
      <c r="J35" s="114">
        <f t="shared" si="3"/>
        <v>710832.59586081072</v>
      </c>
      <c r="K35">
        <f t="shared" si="4"/>
        <v>104.39999999999999</v>
      </c>
      <c r="L35" s="1">
        <f t="shared" si="5"/>
        <v>33569.82</v>
      </c>
      <c r="M35" s="7">
        <f t="shared" si="6"/>
        <v>112765.12535702322</v>
      </c>
      <c r="N35" s="7">
        <f t="shared" si="7"/>
        <v>6323854.4412178351</v>
      </c>
      <c r="O35" s="115">
        <f t="shared" si="8"/>
        <v>2.93</v>
      </c>
      <c r="P35" s="9">
        <f t="shared" si="9"/>
        <v>283797.62</v>
      </c>
      <c r="Q35">
        <f t="shared" si="10"/>
        <v>1.1100000000000001</v>
      </c>
      <c r="R35" s="9">
        <f t="shared" si="11"/>
        <v>114404.06</v>
      </c>
      <c r="S35">
        <f t="shared" si="12"/>
        <v>4.4400000000000004</v>
      </c>
      <c r="T35" s="9">
        <f t="shared" si="13"/>
        <v>430055.1036119698</v>
      </c>
      <c r="U35" s="9">
        <f t="shared" si="14"/>
        <v>266857.37466120638</v>
      </c>
      <c r="V35" s="9">
        <f t="shared" si="15"/>
        <v>40199.144427801832</v>
      </c>
      <c r="W35" s="9">
        <f t="shared" si="16"/>
        <v>270751.63273908704</v>
      </c>
      <c r="X35" s="9">
        <f t="shared" si="17"/>
        <v>41644.450875000002</v>
      </c>
      <c r="Y35" s="9">
        <f t="shared" si="18"/>
        <v>1447709.3863150654</v>
      </c>
      <c r="Z35" s="1">
        <f t="shared" si="19"/>
        <v>126140.14698057143</v>
      </c>
      <c r="AA35" s="1">
        <f t="shared" si="20"/>
        <v>100916.71360799999</v>
      </c>
      <c r="AB35">
        <f t="shared" si="21"/>
        <v>0.81179000000000001</v>
      </c>
      <c r="AC35" s="116">
        <f t="shared" si="22"/>
        <v>2</v>
      </c>
      <c r="AD35" s="7">
        <f t="shared" si="23"/>
        <v>211255.23164031614</v>
      </c>
      <c r="AE35" s="117">
        <f t="shared" si="24"/>
        <v>2</v>
      </c>
      <c r="AF35" s="118">
        <f t="shared" si="25"/>
        <v>2</v>
      </c>
      <c r="AG35" s="9">
        <f t="shared" si="26"/>
        <v>149601.28389517107</v>
      </c>
      <c r="AH35" s="115">
        <f t="shared" si="27"/>
        <v>1</v>
      </c>
      <c r="AI35" s="9">
        <f t="shared" si="28"/>
        <v>82081.329872402013</v>
      </c>
      <c r="AJ35" s="119">
        <f t="shared" si="29"/>
        <v>1</v>
      </c>
      <c r="AK35" s="119">
        <f t="shared" si="30"/>
        <v>1</v>
      </c>
      <c r="AL35" s="9">
        <f t="shared" si="31"/>
        <v>69739.021360782121</v>
      </c>
      <c r="AM35" s="9">
        <f t="shared" si="32"/>
        <v>34426.079390000006</v>
      </c>
      <c r="AN35" s="7">
        <f t="shared" si="33"/>
        <v>774159.80674724269</v>
      </c>
      <c r="AO35">
        <f t="shared" si="34"/>
        <v>0.78961899999999996</v>
      </c>
      <c r="AP35" s="11">
        <f t="shared" si="35"/>
        <v>2.4700000000000002</v>
      </c>
      <c r="AQ35" s="9">
        <f t="shared" si="36"/>
        <v>254931.8</v>
      </c>
      <c r="AR35" s="1">
        <f t="shared" si="37"/>
        <v>2.7762967250000004</v>
      </c>
      <c r="AS35">
        <f>VLOOKUP(A35,'ADM Data'!$A$2:$T$50,20,FALSE)</f>
        <v>1</v>
      </c>
      <c r="AT35" s="9">
        <f t="shared" si="38"/>
        <v>2.7762967250000004</v>
      </c>
      <c r="AU35" s="1">
        <f t="shared" si="39"/>
        <v>158265.34917879273</v>
      </c>
      <c r="AV35" s="9">
        <f t="shared" si="40"/>
        <v>1534690.7094265283</v>
      </c>
      <c r="AW35" s="9">
        <f t="shared" si="41"/>
        <v>1947887.858605321</v>
      </c>
      <c r="AX35" s="7">
        <f t="shared" si="42"/>
        <v>10493611.492885465</v>
      </c>
      <c r="AY35">
        <f t="shared" si="43"/>
        <v>4.0982563906005257E-2</v>
      </c>
    </row>
    <row r="36" spans="1:51" x14ac:dyDescent="0.25">
      <c r="A36" t="s">
        <v>159</v>
      </c>
      <c r="B36" t="s">
        <v>160</v>
      </c>
      <c r="C36" t="s">
        <v>230</v>
      </c>
      <c r="D36" s="1">
        <f>VLOOKUP(A36,'BC ADM'!$A$3:$H$51,8,FALSE)</f>
        <v>52.9</v>
      </c>
      <c r="E36" s="1">
        <f>VLOOKUP(A36,'BC ADM'!$A$3:$G$51,7,FALSE)</f>
        <v>951.95670600000005</v>
      </c>
      <c r="F36" s="1">
        <f>VLOOKUP(A36,'BC ADM'!$A$3:$I$51,9,FALSE)</f>
        <v>1002.540609</v>
      </c>
      <c r="G36" s="7">
        <f t="shared" si="0"/>
        <v>96058.458900109545</v>
      </c>
      <c r="H36" s="7">
        <f t="shared" si="1"/>
        <v>5081492.4800000004</v>
      </c>
      <c r="I36" s="1">
        <f t="shared" si="2"/>
        <v>6.68</v>
      </c>
      <c r="J36" s="114">
        <f t="shared" si="3"/>
        <v>641670.50545273174</v>
      </c>
      <c r="K36">
        <f t="shared" si="4"/>
        <v>104.39999999999999</v>
      </c>
      <c r="L36" s="1">
        <f t="shared" si="5"/>
        <v>31100.759999999995</v>
      </c>
      <c r="M36" s="7">
        <f t="shared" si="6"/>
        <v>104471.25126374504</v>
      </c>
      <c r="N36" s="7">
        <f t="shared" si="7"/>
        <v>5858734.996716477</v>
      </c>
      <c r="O36" s="115">
        <f t="shared" si="8"/>
        <v>2.64</v>
      </c>
      <c r="P36" s="9">
        <f t="shared" si="9"/>
        <v>255708.44</v>
      </c>
      <c r="Q36">
        <f t="shared" si="10"/>
        <v>1</v>
      </c>
      <c r="R36" s="9">
        <f t="shared" si="11"/>
        <v>103066.72</v>
      </c>
      <c r="S36">
        <f t="shared" si="12"/>
        <v>4.01</v>
      </c>
      <c r="T36" s="9">
        <f t="shared" si="13"/>
        <v>388405.6228567565</v>
      </c>
      <c r="U36" s="9">
        <f t="shared" si="14"/>
        <v>240910.26771371765</v>
      </c>
      <c r="V36" s="9">
        <f t="shared" si="15"/>
        <v>36290.496593017633</v>
      </c>
      <c r="W36" s="9">
        <f t="shared" si="16"/>
        <v>244425.878842245</v>
      </c>
      <c r="X36" s="9">
        <f t="shared" si="17"/>
        <v>37595.272837500001</v>
      </c>
      <c r="Y36" s="9">
        <f t="shared" si="18"/>
        <v>1306402.698843237</v>
      </c>
      <c r="Z36" s="1">
        <f t="shared" si="19"/>
        <v>123277.18529005714</v>
      </c>
      <c r="AA36" s="1">
        <f t="shared" si="20"/>
        <v>98411.622128799994</v>
      </c>
      <c r="AB36">
        <f t="shared" si="21"/>
        <v>0.81179000000000001</v>
      </c>
      <c r="AC36" s="116">
        <f t="shared" si="22"/>
        <v>2</v>
      </c>
      <c r="AD36" s="7">
        <f t="shared" si="23"/>
        <v>206606.98429883097</v>
      </c>
      <c r="AE36" s="117">
        <f t="shared" si="24"/>
        <v>2</v>
      </c>
      <c r="AF36" s="118">
        <f t="shared" si="25"/>
        <v>2</v>
      </c>
      <c r="AG36" s="9">
        <f t="shared" si="26"/>
        <v>149601.28389517107</v>
      </c>
      <c r="AH36" s="115">
        <f t="shared" si="27"/>
        <v>1</v>
      </c>
      <c r="AI36" s="9">
        <f t="shared" si="28"/>
        <v>82081.329872402013</v>
      </c>
      <c r="AJ36" s="119">
        <f t="shared" si="29"/>
        <v>1</v>
      </c>
      <c r="AK36" s="119">
        <f t="shared" si="30"/>
        <v>1</v>
      </c>
      <c r="AL36" s="9">
        <f t="shared" si="31"/>
        <v>69739.021360782121</v>
      </c>
      <c r="AM36" s="9">
        <f t="shared" si="32"/>
        <v>31078.758879000001</v>
      </c>
      <c r="AN36" s="7">
        <f t="shared" si="33"/>
        <v>760796.18572504318</v>
      </c>
      <c r="AO36">
        <f t="shared" si="34"/>
        <v>0.78961899999999996</v>
      </c>
      <c r="AP36" s="11">
        <f t="shared" si="35"/>
        <v>2.23</v>
      </c>
      <c r="AQ36" s="9">
        <f t="shared" si="36"/>
        <v>225119.85</v>
      </c>
      <c r="AR36" s="1">
        <f t="shared" si="37"/>
        <v>2.5063515225000002</v>
      </c>
      <c r="AS36">
        <f>VLOOKUP(A36,'ADM Data'!$A$2:$T$50,20,FALSE)</f>
        <v>3</v>
      </c>
      <c r="AT36" s="9">
        <f t="shared" si="38"/>
        <v>2.5063515225000002</v>
      </c>
      <c r="AU36" s="1">
        <f t="shared" si="39"/>
        <v>171017.76019145723</v>
      </c>
      <c r="AV36" s="9">
        <f t="shared" si="40"/>
        <v>1385469.4858445954</v>
      </c>
      <c r="AW36" s="9">
        <f t="shared" si="41"/>
        <v>1781607.0960360526</v>
      </c>
      <c r="AX36" s="7">
        <f t="shared" si="42"/>
        <v>9707540.9773208108</v>
      </c>
      <c r="AY36">
        <f t="shared" si="43"/>
        <v>4.001071164820906E-2</v>
      </c>
    </row>
    <row r="37" spans="1:51" x14ac:dyDescent="0.25">
      <c r="A37" t="s">
        <v>161</v>
      </c>
      <c r="B37" t="s">
        <v>162</v>
      </c>
      <c r="C37" t="s">
        <v>231</v>
      </c>
      <c r="D37" s="1">
        <f>VLOOKUP(A37,'BC ADM'!$A$3:$H$51,8,FALSE)</f>
        <v>63.02</v>
      </c>
      <c r="E37" s="1">
        <f>VLOOKUP(A37,'BC ADM'!$A$3:$G$51,7,FALSE)</f>
        <v>1094.017846</v>
      </c>
      <c r="F37" s="1">
        <f>VLOOKUP(A37,'BC ADM'!$A$3:$I$51,9,FALSE)</f>
        <v>1246.7996780000001</v>
      </c>
      <c r="G37" s="7">
        <f t="shared" si="0"/>
        <v>96058.458900109545</v>
      </c>
      <c r="H37" s="7">
        <f t="shared" si="1"/>
        <v>6053604.0800000001</v>
      </c>
      <c r="I37" s="1">
        <f t="shared" si="2"/>
        <v>8.31</v>
      </c>
      <c r="J37" s="114">
        <f t="shared" si="3"/>
        <v>798245.79345991032</v>
      </c>
      <c r="K37">
        <f t="shared" si="4"/>
        <v>104.39999999999999</v>
      </c>
      <c r="L37" s="1">
        <f t="shared" si="5"/>
        <v>37234.259999999995</v>
      </c>
      <c r="M37" s="7">
        <f t="shared" si="6"/>
        <v>125074.42686544031</v>
      </c>
      <c r="N37" s="7">
        <f t="shared" si="7"/>
        <v>7014158.5603253497</v>
      </c>
      <c r="O37" s="115">
        <f t="shared" si="8"/>
        <v>3.04</v>
      </c>
      <c r="P37" s="9">
        <f t="shared" si="9"/>
        <v>294452.14</v>
      </c>
      <c r="Q37">
        <f t="shared" si="10"/>
        <v>1.25</v>
      </c>
      <c r="R37" s="9">
        <f t="shared" si="11"/>
        <v>128833.41</v>
      </c>
      <c r="S37">
        <f t="shared" si="12"/>
        <v>4.99</v>
      </c>
      <c r="T37" s="9">
        <f t="shared" si="13"/>
        <v>483327.69527561468</v>
      </c>
      <c r="U37" s="9">
        <f t="shared" si="14"/>
        <v>299605.66336755437</v>
      </c>
      <c r="V37" s="9">
        <f t="shared" si="15"/>
        <v>45132.31589867147</v>
      </c>
      <c r="W37" s="9">
        <f t="shared" si="16"/>
        <v>303977.8182545203</v>
      </c>
      <c r="X37" s="9">
        <f t="shared" si="17"/>
        <v>46754.987925000001</v>
      </c>
      <c r="Y37" s="9">
        <f t="shared" si="18"/>
        <v>1602084.0307213608</v>
      </c>
      <c r="Z37" s="1">
        <f t="shared" si="19"/>
        <v>129753.54003382857</v>
      </c>
      <c r="AA37" s="1">
        <f t="shared" si="20"/>
        <v>104078.43252959999</v>
      </c>
      <c r="AB37">
        <f t="shared" si="21"/>
        <v>0.81179000000000001</v>
      </c>
      <c r="AC37" s="116">
        <f t="shared" si="22"/>
        <v>2</v>
      </c>
      <c r="AD37" s="7">
        <f t="shared" si="23"/>
        <v>217121.86433372338</v>
      </c>
      <c r="AE37" s="117">
        <f t="shared" si="24"/>
        <v>2</v>
      </c>
      <c r="AF37" s="118">
        <f t="shared" si="25"/>
        <v>2</v>
      </c>
      <c r="AG37" s="9">
        <f t="shared" si="26"/>
        <v>149601.28389517107</v>
      </c>
      <c r="AH37" s="115">
        <f t="shared" si="27"/>
        <v>1</v>
      </c>
      <c r="AI37" s="9">
        <f t="shared" si="28"/>
        <v>82081.329872402013</v>
      </c>
      <c r="AJ37" s="119">
        <f t="shared" si="29"/>
        <v>1</v>
      </c>
      <c r="AK37" s="119">
        <f t="shared" si="30"/>
        <v>1</v>
      </c>
      <c r="AL37" s="9">
        <f t="shared" si="31"/>
        <v>69739.021360782121</v>
      </c>
      <c r="AM37" s="9">
        <f t="shared" si="32"/>
        <v>38650.790018</v>
      </c>
      <c r="AN37" s="7">
        <f t="shared" si="33"/>
        <v>791026.26204350707</v>
      </c>
      <c r="AO37">
        <f t="shared" si="34"/>
        <v>0.78961899999999996</v>
      </c>
      <c r="AP37" s="11">
        <f t="shared" si="35"/>
        <v>2.77</v>
      </c>
      <c r="AQ37" s="9">
        <f t="shared" si="36"/>
        <v>293798.55</v>
      </c>
      <c r="AR37" s="1">
        <f t="shared" si="37"/>
        <v>3.116999195</v>
      </c>
      <c r="AS37">
        <f>VLOOKUP(A37,'ADM Data'!$A$2:$T$50,20,FALSE)</f>
        <v>2</v>
      </c>
      <c r="AT37" s="9">
        <f t="shared" si="38"/>
        <v>3.116999195</v>
      </c>
      <c r="AU37" s="1">
        <f t="shared" si="39"/>
        <v>177687.40694915844</v>
      </c>
      <c r="AV37" s="9">
        <f t="shared" si="40"/>
        <v>1723025.3750547746</v>
      </c>
      <c r="AW37" s="9">
        <f t="shared" si="41"/>
        <v>2194511.3320039329</v>
      </c>
      <c r="AX37" s="7">
        <f t="shared" si="42"/>
        <v>11601780.18509415</v>
      </c>
      <c r="AY37">
        <f t="shared" si="43"/>
        <v>4.1659787339928166E-2</v>
      </c>
    </row>
    <row r="38" spans="1:51" x14ac:dyDescent="0.25">
      <c r="A38" t="s">
        <v>163</v>
      </c>
      <c r="B38" t="s">
        <v>164</v>
      </c>
      <c r="C38" t="s">
        <v>232</v>
      </c>
      <c r="D38" s="1">
        <f>VLOOKUP(A38,'BC ADM'!$A$3:$H$51,8,FALSE)</f>
        <v>35.28</v>
      </c>
      <c r="E38" s="1">
        <f>VLOOKUP(A38,'BC ADM'!$A$3:$G$51,7,FALSE)</f>
        <v>643.09736599999997</v>
      </c>
      <c r="F38" s="1">
        <f>VLOOKUP(A38,'BC ADM'!$A$3:$I$51,9,FALSE)</f>
        <v>672.70673599999998</v>
      </c>
      <c r="G38" s="7">
        <f t="shared" si="0"/>
        <v>96058.458900109545</v>
      </c>
      <c r="H38" s="7">
        <f t="shared" si="1"/>
        <v>3388942.43</v>
      </c>
      <c r="I38" s="1">
        <f t="shared" si="2"/>
        <v>6</v>
      </c>
      <c r="J38" s="114">
        <f t="shared" si="3"/>
        <v>576350.75340065733</v>
      </c>
      <c r="K38">
        <f t="shared" si="4"/>
        <v>104.39999999999999</v>
      </c>
      <c r="L38" s="1">
        <f t="shared" si="5"/>
        <v>21548.159999999996</v>
      </c>
      <c r="M38" s="7">
        <f t="shared" si="6"/>
        <v>72382.901177700493</v>
      </c>
      <c r="N38" s="7">
        <f t="shared" si="7"/>
        <v>4059224.2445783583</v>
      </c>
      <c r="O38" s="115">
        <f t="shared" si="8"/>
        <v>1.79</v>
      </c>
      <c r="P38" s="9">
        <f t="shared" si="9"/>
        <v>173378.07</v>
      </c>
      <c r="Q38">
        <f t="shared" si="10"/>
        <v>0.67</v>
      </c>
      <c r="R38" s="9">
        <f t="shared" si="11"/>
        <v>69054.710000000006</v>
      </c>
      <c r="S38">
        <f t="shared" si="12"/>
        <v>2.69</v>
      </c>
      <c r="T38" s="9">
        <f t="shared" si="13"/>
        <v>260551.40286400871</v>
      </c>
      <c r="U38" s="9">
        <f t="shared" si="14"/>
        <v>161651.26719827583</v>
      </c>
      <c r="V38" s="9">
        <f t="shared" si="15"/>
        <v>24350.995153462165</v>
      </c>
      <c r="W38" s="9">
        <f t="shared" si="16"/>
        <v>164010.2492346004</v>
      </c>
      <c r="X38" s="9">
        <f t="shared" si="17"/>
        <v>25226.5026</v>
      </c>
      <c r="Y38" s="9">
        <f t="shared" si="18"/>
        <v>878223.19705034699</v>
      </c>
      <c r="Z38" s="1">
        <f t="shared" si="19"/>
        <v>114531.87574308571</v>
      </c>
      <c r="AA38" s="1">
        <f t="shared" si="20"/>
        <v>90759.476275199995</v>
      </c>
      <c r="AB38">
        <f t="shared" si="21"/>
        <v>0.81179000000000001</v>
      </c>
      <c r="AC38" s="116">
        <f t="shared" si="22"/>
        <v>2</v>
      </c>
      <c r="AD38" s="7">
        <f t="shared" si="23"/>
        <v>192408.2746245591</v>
      </c>
      <c r="AE38" s="117">
        <f t="shared" si="24"/>
        <v>2</v>
      </c>
      <c r="AF38" s="118">
        <f t="shared" si="25"/>
        <v>2</v>
      </c>
      <c r="AG38" s="9">
        <f t="shared" si="26"/>
        <v>149601.28389517107</v>
      </c>
      <c r="AH38" s="115">
        <f t="shared" si="27"/>
        <v>1</v>
      </c>
      <c r="AI38" s="9">
        <f t="shared" si="28"/>
        <v>82081.329872402013</v>
      </c>
      <c r="AJ38" s="119">
        <f t="shared" si="29"/>
        <v>1</v>
      </c>
      <c r="AK38" s="119">
        <f t="shared" si="30"/>
        <v>1</v>
      </c>
      <c r="AL38" s="9">
        <f t="shared" si="31"/>
        <v>69739.021360782121</v>
      </c>
      <c r="AM38" s="9">
        <f t="shared" si="32"/>
        <v>20853.908815999999</v>
      </c>
      <c r="AN38" s="7">
        <f t="shared" si="33"/>
        <v>719975.17058719997</v>
      </c>
      <c r="AO38">
        <f t="shared" si="34"/>
        <v>0.78961899999999996</v>
      </c>
      <c r="AP38" s="11">
        <f t="shared" si="35"/>
        <v>1.49</v>
      </c>
      <c r="AQ38" s="9">
        <f t="shared" si="36"/>
        <v>140127.26</v>
      </c>
      <c r="AR38" s="1">
        <f t="shared" si="37"/>
        <v>1.6817668399999999</v>
      </c>
      <c r="AS38">
        <f>VLOOKUP(A38,'ADM Data'!$A$2:$T$50,20,FALSE)</f>
        <v>1</v>
      </c>
      <c r="AT38" s="9">
        <f t="shared" si="38"/>
        <v>1.6817668399999999</v>
      </c>
      <c r="AU38" s="1">
        <f t="shared" si="39"/>
        <v>95870.666047021601</v>
      </c>
      <c r="AV38" s="9">
        <f t="shared" si="40"/>
        <v>929652.77145208977</v>
      </c>
      <c r="AW38" s="9">
        <f t="shared" si="41"/>
        <v>1165650.6974991113</v>
      </c>
      <c r="AX38" s="7">
        <f t="shared" si="42"/>
        <v>6823073.3097150167</v>
      </c>
      <c r="AY38">
        <f t="shared" si="43"/>
        <v>3.8186809819707374E-2</v>
      </c>
    </row>
    <row r="39" spans="1:51" x14ac:dyDescent="0.25">
      <c r="A39" t="s">
        <v>165</v>
      </c>
      <c r="B39" t="s">
        <v>166</v>
      </c>
      <c r="C39" t="s">
        <v>233</v>
      </c>
      <c r="D39" s="1">
        <f>VLOOKUP(A39,'BC ADM'!$A$3:$H$51,8,FALSE)</f>
        <v>42.3</v>
      </c>
      <c r="E39" s="1">
        <f>VLOOKUP(A39,'BC ADM'!$A$3:$G$51,7,FALSE)</f>
        <v>794.68826000000001</v>
      </c>
      <c r="F39" s="1">
        <f>VLOOKUP(A39,'BC ADM'!$A$3:$I$51,9,FALSE)</f>
        <v>822.2050099999999</v>
      </c>
      <c r="G39" s="7">
        <f t="shared" si="0"/>
        <v>96058.458900109545</v>
      </c>
      <c r="H39" s="7">
        <f t="shared" si="1"/>
        <v>4063272.81</v>
      </c>
      <c r="I39" s="1">
        <f t="shared" si="2"/>
        <v>6</v>
      </c>
      <c r="J39" s="114">
        <f t="shared" si="3"/>
        <v>576350.75340065733</v>
      </c>
      <c r="K39">
        <f t="shared" si="4"/>
        <v>104.39999999999999</v>
      </c>
      <c r="L39" s="1">
        <f t="shared" si="5"/>
        <v>25212.6</v>
      </c>
      <c r="M39" s="7">
        <f t="shared" si="6"/>
        <v>84692.202686117584</v>
      </c>
      <c r="N39" s="7">
        <f t="shared" si="7"/>
        <v>4749528.3660867754</v>
      </c>
      <c r="O39" s="115">
        <f t="shared" si="8"/>
        <v>2.21</v>
      </c>
      <c r="P39" s="9">
        <f t="shared" si="9"/>
        <v>214058.96</v>
      </c>
      <c r="Q39">
        <f t="shared" si="10"/>
        <v>0.82</v>
      </c>
      <c r="R39" s="9">
        <f t="shared" si="11"/>
        <v>84514.71</v>
      </c>
      <c r="S39">
        <f t="shared" si="12"/>
        <v>3.29</v>
      </c>
      <c r="T39" s="9">
        <f t="shared" si="13"/>
        <v>318666.95740616682</v>
      </c>
      <c r="U39" s="9">
        <f t="shared" si="14"/>
        <v>197575.66655802156</v>
      </c>
      <c r="V39" s="9">
        <f t="shared" si="15"/>
        <v>29762.612951838066</v>
      </c>
      <c r="W39" s="9">
        <f t="shared" si="16"/>
        <v>200458.8944862849</v>
      </c>
      <c r="X39" s="9">
        <f t="shared" si="17"/>
        <v>30832.687874999996</v>
      </c>
      <c r="Y39" s="9">
        <f t="shared" si="18"/>
        <v>1075870.4892773114</v>
      </c>
      <c r="Z39" s="1">
        <f t="shared" si="19"/>
        <v>118495.71569371427</v>
      </c>
      <c r="AA39" s="1">
        <f t="shared" si="20"/>
        <v>94227.836231999987</v>
      </c>
      <c r="AB39">
        <f t="shared" si="21"/>
        <v>0.81179000000000001</v>
      </c>
      <c r="AC39" s="116">
        <f t="shared" si="22"/>
        <v>2</v>
      </c>
      <c r="AD39" s="7">
        <f t="shared" si="23"/>
        <v>198843.88589160063</v>
      </c>
      <c r="AE39" s="117">
        <f t="shared" si="24"/>
        <v>2</v>
      </c>
      <c r="AF39" s="118">
        <f t="shared" si="25"/>
        <v>2</v>
      </c>
      <c r="AG39" s="9">
        <f t="shared" si="26"/>
        <v>149601.28389517107</v>
      </c>
      <c r="AH39" s="115">
        <f t="shared" si="27"/>
        <v>1</v>
      </c>
      <c r="AI39" s="9">
        <f t="shared" si="28"/>
        <v>82081.329872402013</v>
      </c>
      <c r="AJ39" s="119">
        <f t="shared" si="29"/>
        <v>1</v>
      </c>
      <c r="AK39" s="119">
        <f t="shared" si="30"/>
        <v>1</v>
      </c>
      <c r="AL39" s="9">
        <f t="shared" si="31"/>
        <v>69739.021360782121</v>
      </c>
      <c r="AM39" s="9">
        <f t="shared" si="32"/>
        <v>25488.355309999995</v>
      </c>
      <c r="AN39" s="7">
        <f t="shared" si="33"/>
        <v>738477.42825567001</v>
      </c>
      <c r="AO39">
        <f t="shared" si="34"/>
        <v>0.78961899999999996</v>
      </c>
      <c r="AP39" s="11">
        <f t="shared" si="35"/>
        <v>1.83</v>
      </c>
      <c r="AQ39" s="9">
        <f t="shared" si="36"/>
        <v>177830.37</v>
      </c>
      <c r="AR39" s="1">
        <f t="shared" si="37"/>
        <v>2.0555125249999997</v>
      </c>
      <c r="AS39">
        <f>VLOOKUP(A39,'ADM Data'!$A$2:$T$50,20,FALSE)</f>
        <v>1</v>
      </c>
      <c r="AT39" s="9">
        <f t="shared" si="38"/>
        <v>2.0555125249999997</v>
      </c>
      <c r="AU39" s="1">
        <f t="shared" si="39"/>
        <v>117176.3826903289</v>
      </c>
      <c r="AV39" s="9">
        <f t="shared" si="40"/>
        <v>1136253.1774147318</v>
      </c>
      <c r="AW39" s="9">
        <f t="shared" si="41"/>
        <v>1431259.9301050608</v>
      </c>
      <c r="AX39" s="7">
        <f t="shared" si="42"/>
        <v>7995136.2137248181</v>
      </c>
      <c r="AY39">
        <f t="shared" si="43"/>
        <v>3.9857602032987063E-2</v>
      </c>
    </row>
    <row r="40" spans="1:51" x14ac:dyDescent="0.25">
      <c r="A40" t="s">
        <v>167</v>
      </c>
      <c r="B40" t="s">
        <v>168</v>
      </c>
      <c r="C40" t="s">
        <v>234</v>
      </c>
      <c r="D40" s="1">
        <f>VLOOKUP(A40,'BC ADM'!$A$3:$H$51,8,FALSE)</f>
        <v>31.52</v>
      </c>
      <c r="E40" s="1">
        <f>VLOOKUP(A40,'BC ADM'!$A$3:$G$51,7,FALSE)</f>
        <v>595.41497400000003</v>
      </c>
      <c r="F40" s="1">
        <f>VLOOKUP(A40,'BC ADM'!$A$3:$I$51,9,FALSE)</f>
        <v>595.41497400000003</v>
      </c>
      <c r="G40" s="7">
        <f t="shared" si="0"/>
        <v>96058.458900109545</v>
      </c>
      <c r="H40" s="7">
        <f t="shared" si="1"/>
        <v>3027762.62</v>
      </c>
      <c r="I40" s="1">
        <f t="shared" si="2"/>
        <v>6</v>
      </c>
      <c r="J40" s="114">
        <f t="shared" si="3"/>
        <v>576350.75340065733</v>
      </c>
      <c r="K40">
        <f t="shared" si="4"/>
        <v>104.39999999999999</v>
      </c>
      <c r="L40" s="1">
        <f t="shared" si="5"/>
        <v>19585.439999999995</v>
      </c>
      <c r="M40" s="7">
        <f t="shared" si="6"/>
        <v>65789.884985158002</v>
      </c>
      <c r="N40" s="7">
        <f t="shared" si="7"/>
        <v>3689488.6983858156</v>
      </c>
      <c r="O40" s="115">
        <f t="shared" si="8"/>
        <v>1.65</v>
      </c>
      <c r="P40" s="9">
        <f t="shared" si="9"/>
        <v>159817.76999999999</v>
      </c>
      <c r="Q40">
        <f t="shared" si="10"/>
        <v>0.6</v>
      </c>
      <c r="R40" s="9">
        <f t="shared" si="11"/>
        <v>61840.03</v>
      </c>
      <c r="S40">
        <f t="shared" si="12"/>
        <v>2.38</v>
      </c>
      <c r="T40" s="9">
        <f t="shared" si="13"/>
        <v>230525.03301722705</v>
      </c>
      <c r="U40" s="9">
        <f t="shared" si="14"/>
        <v>143078.07534118174</v>
      </c>
      <c r="V40" s="9">
        <f t="shared" si="15"/>
        <v>21553.146966217984</v>
      </c>
      <c r="W40" s="9">
        <f t="shared" si="16"/>
        <v>145166.01820344062</v>
      </c>
      <c r="X40" s="9">
        <f t="shared" si="17"/>
        <v>22328.061525000001</v>
      </c>
      <c r="Y40" s="9">
        <f t="shared" si="18"/>
        <v>784308.13505306735</v>
      </c>
      <c r="Z40" s="1">
        <f t="shared" si="19"/>
        <v>112482.53988205714</v>
      </c>
      <c r="AA40" s="1">
        <f t="shared" si="20"/>
        <v>88966.307396799995</v>
      </c>
      <c r="AB40">
        <f t="shared" si="21"/>
        <v>0.81179000000000001</v>
      </c>
      <c r="AC40" s="116">
        <f t="shared" si="22"/>
        <v>2</v>
      </c>
      <c r="AD40" s="7">
        <f t="shared" si="23"/>
        <v>189081.01390731038</v>
      </c>
      <c r="AE40" s="117">
        <f t="shared" si="24"/>
        <v>2</v>
      </c>
      <c r="AF40" s="118">
        <f t="shared" si="25"/>
        <v>2</v>
      </c>
      <c r="AG40" s="9">
        <f t="shared" si="26"/>
        <v>149601.28389517107</v>
      </c>
      <c r="AH40" s="115">
        <f t="shared" si="27"/>
        <v>1</v>
      </c>
      <c r="AI40" s="9">
        <f t="shared" si="28"/>
        <v>82081.329872402013</v>
      </c>
      <c r="AJ40" s="119">
        <f t="shared" si="29"/>
        <v>1</v>
      </c>
      <c r="AK40" s="119">
        <f t="shared" si="30"/>
        <v>1</v>
      </c>
      <c r="AL40" s="9">
        <f t="shared" si="31"/>
        <v>69739.021360782121</v>
      </c>
      <c r="AM40" s="9">
        <f t="shared" si="32"/>
        <v>18457.864194000002</v>
      </c>
      <c r="AN40" s="7">
        <f t="shared" si="33"/>
        <v>710409.36050852272</v>
      </c>
      <c r="AO40">
        <f t="shared" si="34"/>
        <v>0.78961899999999996</v>
      </c>
      <c r="AP40" s="11">
        <f t="shared" si="35"/>
        <v>1.32</v>
      </c>
      <c r="AQ40" s="9">
        <f t="shared" si="36"/>
        <v>122003.57</v>
      </c>
      <c r="AR40" s="1">
        <f t="shared" si="37"/>
        <v>1.488537435</v>
      </c>
      <c r="AS40">
        <f>VLOOKUP(A40,'ADM Data'!$A$2:$T$50,20,FALSE)</f>
        <v>1</v>
      </c>
      <c r="AT40" s="9">
        <f t="shared" si="38"/>
        <v>1.488537435</v>
      </c>
      <c r="AU40" s="1">
        <f t="shared" si="39"/>
        <v>84855.446031612286</v>
      </c>
      <c r="AV40" s="9">
        <f t="shared" si="40"/>
        <v>822838.76631670003</v>
      </c>
      <c r="AW40" s="9">
        <f t="shared" si="41"/>
        <v>1029697.7823483123</v>
      </c>
      <c r="AX40" s="7">
        <f t="shared" si="42"/>
        <v>6213903.976295718</v>
      </c>
      <c r="AY40">
        <f t="shared" si="43"/>
        <v>3.7098261237478836E-2</v>
      </c>
    </row>
    <row r="41" spans="1:51" x14ac:dyDescent="0.25">
      <c r="A41" t="s">
        <v>169</v>
      </c>
      <c r="B41" t="s">
        <v>170</v>
      </c>
      <c r="C41" t="s">
        <v>235</v>
      </c>
      <c r="D41" s="1">
        <f>VLOOKUP(A41,'BC ADM'!$A$3:$H$51,8,FALSE)</f>
        <v>53.55</v>
      </c>
      <c r="E41" s="1">
        <f>VLOOKUP(A41,'BC ADM'!$A$3:$G$51,7,FALSE)</f>
        <v>1017.053596</v>
      </c>
      <c r="F41" s="1">
        <f>VLOOKUP(A41,'BC ADM'!$A$3:$I$51,9,FALSE)</f>
        <v>1017.053596</v>
      </c>
      <c r="G41" s="7">
        <f t="shared" si="0"/>
        <v>96058.458900109545</v>
      </c>
      <c r="H41" s="7">
        <f t="shared" si="1"/>
        <v>5143930.47</v>
      </c>
      <c r="I41" s="1">
        <f t="shared" si="2"/>
        <v>6.78</v>
      </c>
      <c r="J41" s="114">
        <f t="shared" si="3"/>
        <v>651276.35134274268</v>
      </c>
      <c r="K41">
        <f t="shared" si="4"/>
        <v>104.39999999999999</v>
      </c>
      <c r="L41" s="1">
        <f t="shared" si="5"/>
        <v>31492.259999999995</v>
      </c>
      <c r="M41" s="7">
        <f t="shared" si="6"/>
        <v>105786.34757874686</v>
      </c>
      <c r="N41" s="7">
        <f t="shared" si="7"/>
        <v>5932485.428921489</v>
      </c>
      <c r="O41" s="115">
        <f t="shared" si="8"/>
        <v>2.83</v>
      </c>
      <c r="P41" s="9">
        <f t="shared" si="9"/>
        <v>274111.7</v>
      </c>
      <c r="Q41">
        <f t="shared" si="10"/>
        <v>1.02</v>
      </c>
      <c r="R41" s="9">
        <f t="shared" si="11"/>
        <v>105128.06</v>
      </c>
      <c r="S41">
        <f t="shared" si="12"/>
        <v>4.07</v>
      </c>
      <c r="T41" s="9">
        <f t="shared" si="13"/>
        <v>394217.17831097235</v>
      </c>
      <c r="U41" s="9">
        <f t="shared" si="14"/>
        <v>244397.7350064223</v>
      </c>
      <c r="V41" s="9">
        <f t="shared" si="15"/>
        <v>36815.845392407769</v>
      </c>
      <c r="W41" s="9">
        <f t="shared" si="16"/>
        <v>247964.23885505227</v>
      </c>
      <c r="X41" s="9">
        <f t="shared" si="17"/>
        <v>38139.509850000002</v>
      </c>
      <c r="Y41" s="9">
        <f t="shared" si="18"/>
        <v>1340774.2674148548</v>
      </c>
      <c r="Z41" s="1">
        <f t="shared" si="19"/>
        <v>123661.98677394284</v>
      </c>
      <c r="AA41" s="1">
        <f t="shared" si="20"/>
        <v>98748.323427199997</v>
      </c>
      <c r="AB41">
        <f t="shared" si="21"/>
        <v>0.81179000000000001</v>
      </c>
      <c r="AC41" s="116">
        <f t="shared" si="22"/>
        <v>2</v>
      </c>
      <c r="AD41" s="7">
        <f t="shared" si="23"/>
        <v>207231.74029203813</v>
      </c>
      <c r="AE41" s="117">
        <f t="shared" si="24"/>
        <v>2</v>
      </c>
      <c r="AF41" s="118">
        <f t="shared" si="25"/>
        <v>2</v>
      </c>
      <c r="AG41" s="9">
        <f t="shared" si="26"/>
        <v>149601.28389517107</v>
      </c>
      <c r="AH41" s="115">
        <f t="shared" si="27"/>
        <v>1</v>
      </c>
      <c r="AI41" s="9">
        <f t="shared" si="28"/>
        <v>82081.329872402013</v>
      </c>
      <c r="AJ41" s="119">
        <f t="shared" si="29"/>
        <v>1</v>
      </c>
      <c r="AK41" s="119">
        <f t="shared" si="30"/>
        <v>1</v>
      </c>
      <c r="AL41" s="9">
        <f t="shared" si="31"/>
        <v>69739.021360782121</v>
      </c>
      <c r="AM41" s="9">
        <f t="shared" si="32"/>
        <v>31528.661475999997</v>
      </c>
      <c r="AN41" s="7">
        <f t="shared" si="33"/>
        <v>762592.34709753608</v>
      </c>
      <c r="AO41">
        <f t="shared" si="34"/>
        <v>0.78961899999999996</v>
      </c>
      <c r="AP41" s="11">
        <f t="shared" si="35"/>
        <v>2.2599999999999998</v>
      </c>
      <c r="AQ41" s="9">
        <f t="shared" si="36"/>
        <v>228835.06</v>
      </c>
      <c r="AR41" s="1">
        <f t="shared" si="37"/>
        <v>2.5426339900000001</v>
      </c>
      <c r="AS41">
        <f>VLOOKUP(A41,'ADM Data'!$A$2:$T$50,20,FALSE)</f>
        <v>1</v>
      </c>
      <c r="AT41" s="9">
        <f t="shared" si="38"/>
        <v>2.5426339900000001</v>
      </c>
      <c r="AU41" s="1">
        <f t="shared" si="39"/>
        <v>144945.18998548939</v>
      </c>
      <c r="AV41" s="9">
        <f t="shared" si="40"/>
        <v>1405525.8311501641</v>
      </c>
      <c r="AW41" s="9">
        <f t="shared" si="41"/>
        <v>1779306.0811356534</v>
      </c>
      <c r="AX41" s="7">
        <f t="shared" si="42"/>
        <v>9815158.1245695334</v>
      </c>
      <c r="AY41">
        <f t="shared" si="43"/>
        <v>4.0164118938049373E-2</v>
      </c>
    </row>
    <row r="42" spans="1:51" x14ac:dyDescent="0.25">
      <c r="A42" t="s">
        <v>171</v>
      </c>
      <c r="B42" t="s">
        <v>172</v>
      </c>
      <c r="C42" t="s">
        <v>236</v>
      </c>
      <c r="D42" s="1">
        <f>VLOOKUP(A42,'BC ADM'!$A$3:$H$51,8,FALSE)</f>
        <v>48.38</v>
      </c>
      <c r="E42" s="1">
        <f>VLOOKUP(A42,'BC ADM'!$A$3:$G$51,7,FALSE)</f>
        <v>946.83580400000005</v>
      </c>
      <c r="F42" s="1">
        <f>VLOOKUP(A42,'BC ADM'!$A$3:$I$51,9,FALSE)</f>
        <v>954.89631999999995</v>
      </c>
      <c r="G42" s="7">
        <f t="shared" si="0"/>
        <v>96058.458900109545</v>
      </c>
      <c r="H42" s="7">
        <f t="shared" si="1"/>
        <v>4647308.24</v>
      </c>
      <c r="I42" s="1">
        <f t="shared" si="2"/>
        <v>6.37</v>
      </c>
      <c r="J42" s="114">
        <f t="shared" si="3"/>
        <v>611892.38319369778</v>
      </c>
      <c r="K42">
        <f t="shared" si="4"/>
        <v>104.39999999999999</v>
      </c>
      <c r="L42" s="1">
        <f t="shared" si="5"/>
        <v>28579.5</v>
      </c>
      <c r="M42" s="7">
        <f t="shared" si="6"/>
        <v>96002.030995133289</v>
      </c>
      <c r="N42" s="7">
        <f t="shared" si="7"/>
        <v>5383782.1541888313</v>
      </c>
      <c r="O42" s="115">
        <f t="shared" si="8"/>
        <v>2.63</v>
      </c>
      <c r="P42" s="9">
        <f t="shared" si="9"/>
        <v>254739.85</v>
      </c>
      <c r="Q42">
        <f t="shared" si="10"/>
        <v>0.95</v>
      </c>
      <c r="R42" s="9">
        <f t="shared" si="11"/>
        <v>97913.39</v>
      </c>
      <c r="S42">
        <f t="shared" si="12"/>
        <v>3.82</v>
      </c>
      <c r="T42" s="9">
        <f t="shared" si="13"/>
        <v>370002.36391840642</v>
      </c>
      <c r="U42" s="9">
        <f t="shared" si="14"/>
        <v>229461.35650256116</v>
      </c>
      <c r="V42" s="9">
        <f t="shared" si="15"/>
        <v>34565.84335492496</v>
      </c>
      <c r="W42" s="9">
        <f t="shared" si="16"/>
        <v>232809.8933089957</v>
      </c>
      <c r="X42" s="9">
        <f t="shared" si="17"/>
        <v>35808.612000000001</v>
      </c>
      <c r="Y42" s="9">
        <f t="shared" si="18"/>
        <v>1255301.3090848881</v>
      </c>
      <c r="Z42" s="1">
        <f t="shared" si="19"/>
        <v>122013.93099885713</v>
      </c>
      <c r="AA42" s="1">
        <f t="shared" si="20"/>
        <v>97306.274623999983</v>
      </c>
      <c r="AB42">
        <f t="shared" si="21"/>
        <v>0.81179000000000001</v>
      </c>
      <c r="AC42" s="116">
        <f t="shared" si="22"/>
        <v>2</v>
      </c>
      <c r="AD42" s="7">
        <f t="shared" si="23"/>
        <v>204555.98989672447</v>
      </c>
      <c r="AE42" s="117">
        <f t="shared" si="24"/>
        <v>2</v>
      </c>
      <c r="AF42" s="118">
        <f t="shared" si="25"/>
        <v>2</v>
      </c>
      <c r="AG42" s="9">
        <f t="shared" si="26"/>
        <v>149601.28389517107</v>
      </c>
      <c r="AH42" s="115">
        <f t="shared" si="27"/>
        <v>1</v>
      </c>
      <c r="AI42" s="9">
        <f t="shared" si="28"/>
        <v>82081.329872402013</v>
      </c>
      <c r="AJ42" s="119">
        <f t="shared" si="29"/>
        <v>1</v>
      </c>
      <c r="AK42" s="119">
        <f t="shared" si="30"/>
        <v>1</v>
      </c>
      <c r="AL42" s="9">
        <f t="shared" si="31"/>
        <v>69739.021360782121</v>
      </c>
      <c r="AM42" s="9">
        <f t="shared" si="32"/>
        <v>29601.785919999998</v>
      </c>
      <c r="AN42" s="7">
        <f t="shared" si="33"/>
        <v>754899.61656793684</v>
      </c>
      <c r="AO42">
        <f t="shared" si="34"/>
        <v>0.78961899999999996</v>
      </c>
      <c r="AP42" s="11">
        <f t="shared" si="35"/>
        <v>2.12</v>
      </c>
      <c r="AQ42" s="9">
        <f t="shared" si="36"/>
        <v>211900.61</v>
      </c>
      <c r="AR42" s="1">
        <f t="shared" si="37"/>
        <v>2.3872407999999998</v>
      </c>
      <c r="AS42">
        <f>VLOOKUP(A42,'ADM Data'!$A$2:$T$50,20,FALSE)</f>
        <v>2</v>
      </c>
      <c r="AT42" s="9">
        <f t="shared" si="38"/>
        <v>2.3872407999999998</v>
      </c>
      <c r="AU42" s="1">
        <f t="shared" si="39"/>
        <v>136086.85821788749</v>
      </c>
      <c r="AV42" s="9">
        <f t="shared" si="40"/>
        <v>1319627.0571273149</v>
      </c>
      <c r="AW42" s="9">
        <f t="shared" si="41"/>
        <v>1667614.5253452023</v>
      </c>
      <c r="AX42" s="7">
        <f t="shared" si="42"/>
        <v>9061597.6051868573</v>
      </c>
      <c r="AY42">
        <f t="shared" si="43"/>
        <v>4.0831912874460141E-2</v>
      </c>
    </row>
    <row r="43" spans="1:51" x14ac:dyDescent="0.25">
      <c r="A43" t="s">
        <v>173</v>
      </c>
      <c r="B43" t="s">
        <v>174</v>
      </c>
      <c r="C43" t="s">
        <v>237</v>
      </c>
      <c r="D43" s="1">
        <f>VLOOKUP(A43,'BC ADM'!$A$3:$H$51,8,FALSE)</f>
        <v>28.05</v>
      </c>
      <c r="E43" s="1">
        <f>VLOOKUP(A43,'BC ADM'!$A$3:$G$51,7,FALSE)</f>
        <v>525.79509199999995</v>
      </c>
      <c r="F43" s="1">
        <f>VLOOKUP(A43,'BC ADM'!$A$3:$I$51,9,FALSE)</f>
        <v>525.79509199999995</v>
      </c>
      <c r="G43" s="7">
        <f t="shared" si="0"/>
        <v>96058.458900109545</v>
      </c>
      <c r="H43" s="7">
        <f t="shared" si="1"/>
        <v>2694439.77</v>
      </c>
      <c r="I43" s="1">
        <f t="shared" si="2"/>
        <v>6</v>
      </c>
      <c r="J43" s="114">
        <f t="shared" si="3"/>
        <v>576350.75340065733</v>
      </c>
      <c r="K43">
        <f t="shared" si="4"/>
        <v>104.39999999999999</v>
      </c>
      <c r="L43" s="1">
        <f t="shared" si="5"/>
        <v>17774.099999999995</v>
      </c>
      <c r="M43" s="7">
        <f t="shared" si="6"/>
        <v>59705.372701082888</v>
      </c>
      <c r="N43" s="7">
        <f t="shared" si="7"/>
        <v>3348269.9961017403</v>
      </c>
      <c r="O43" s="115">
        <f t="shared" si="8"/>
        <v>1.46</v>
      </c>
      <c r="P43" s="9">
        <f t="shared" si="9"/>
        <v>141414.51999999999</v>
      </c>
      <c r="Q43">
        <f t="shared" si="10"/>
        <v>0.53</v>
      </c>
      <c r="R43" s="9">
        <f t="shared" si="11"/>
        <v>54625.36</v>
      </c>
      <c r="S43">
        <f t="shared" si="12"/>
        <v>2.1</v>
      </c>
      <c r="T43" s="9">
        <f t="shared" si="13"/>
        <v>203404.44089755329</v>
      </c>
      <c r="U43" s="9">
        <f t="shared" si="14"/>
        <v>126348.43440668924</v>
      </c>
      <c r="V43" s="9">
        <f t="shared" si="15"/>
        <v>19033.009559467519</v>
      </c>
      <c r="W43" s="9">
        <f t="shared" si="16"/>
        <v>128192.24109159158</v>
      </c>
      <c r="X43" s="9">
        <f t="shared" si="17"/>
        <v>19717.315949999997</v>
      </c>
      <c r="Y43" s="9">
        <f t="shared" si="18"/>
        <v>692735.32190530153</v>
      </c>
      <c r="Z43" s="1">
        <f t="shared" si="19"/>
        <v>110636.61843931428</v>
      </c>
      <c r="AA43" s="1">
        <f t="shared" si="20"/>
        <v>87351.126134399994</v>
      </c>
      <c r="AB43">
        <f t="shared" si="21"/>
        <v>0.81179000000000001</v>
      </c>
      <c r="AC43" s="116">
        <f t="shared" si="22"/>
        <v>2</v>
      </c>
      <c r="AD43" s="7">
        <f t="shared" si="23"/>
        <v>186084.0127713019</v>
      </c>
      <c r="AE43" s="117">
        <f t="shared" si="24"/>
        <v>2</v>
      </c>
      <c r="AF43" s="118">
        <f t="shared" si="25"/>
        <v>2</v>
      </c>
      <c r="AG43" s="9">
        <f t="shared" si="26"/>
        <v>149601.28389517107</v>
      </c>
      <c r="AH43" s="115">
        <f t="shared" si="27"/>
        <v>1</v>
      </c>
      <c r="AI43" s="9">
        <f t="shared" si="28"/>
        <v>82081.329872402013</v>
      </c>
      <c r="AJ43" s="119">
        <f t="shared" si="29"/>
        <v>1</v>
      </c>
      <c r="AK43" s="119">
        <f t="shared" si="30"/>
        <v>1</v>
      </c>
      <c r="AL43" s="9">
        <f t="shared" si="31"/>
        <v>69739.021360782121</v>
      </c>
      <c r="AM43" s="9">
        <f t="shared" si="32"/>
        <v>16299.647851999998</v>
      </c>
      <c r="AN43" s="7">
        <f t="shared" si="33"/>
        <v>701793.04032537132</v>
      </c>
      <c r="AO43">
        <f t="shared" si="34"/>
        <v>0.78961899999999996</v>
      </c>
      <c r="AP43" s="11">
        <f t="shared" si="35"/>
        <v>1.17</v>
      </c>
      <c r="AQ43" s="9">
        <f t="shared" si="36"/>
        <v>106434.17</v>
      </c>
      <c r="AR43" s="1">
        <f t="shared" si="37"/>
        <v>1.31448773</v>
      </c>
      <c r="AS43">
        <f>VLOOKUP(A43,'ADM Data'!$A$2:$T$50,20,FALSE)</f>
        <v>1</v>
      </c>
      <c r="AT43" s="9">
        <f t="shared" si="38"/>
        <v>1.31448773</v>
      </c>
      <c r="AU43" s="1">
        <f t="shared" si="39"/>
        <v>74933.582461251004</v>
      </c>
      <c r="AV43" s="9">
        <f t="shared" si="40"/>
        <v>726626.98072597641</v>
      </c>
      <c r="AW43" s="9">
        <f t="shared" si="41"/>
        <v>907994.73318722739</v>
      </c>
      <c r="AX43" s="7">
        <f t="shared" si="42"/>
        <v>5650793.0915196408</v>
      </c>
      <c r="AY43">
        <f t="shared" si="43"/>
        <v>3.5995733271991508E-2</v>
      </c>
    </row>
    <row r="44" spans="1:51" x14ac:dyDescent="0.25">
      <c r="A44" t="s">
        <v>175</v>
      </c>
      <c r="B44" t="s">
        <v>176</v>
      </c>
      <c r="C44" t="s">
        <v>238</v>
      </c>
      <c r="D44" s="1">
        <f>VLOOKUP(A44,'BC ADM'!$A$3:$H$51,8,FALSE)</f>
        <v>26.24</v>
      </c>
      <c r="E44" s="1">
        <f>VLOOKUP(A44,'BC ADM'!$A$3:$G$51,7,FALSE)</f>
        <v>517.72178799999995</v>
      </c>
      <c r="F44" s="1">
        <f>VLOOKUP(A44,'BC ADM'!$A$3:$I$51,9,FALSE)</f>
        <v>517.72178799999995</v>
      </c>
      <c r="G44" s="7">
        <f t="shared" si="0"/>
        <v>96058.458900109545</v>
      </c>
      <c r="H44" s="7">
        <f t="shared" si="1"/>
        <v>2520573.96</v>
      </c>
      <c r="I44" s="1">
        <f t="shared" si="2"/>
        <v>6</v>
      </c>
      <c r="J44" s="114">
        <f t="shared" si="3"/>
        <v>576350.75340065733</v>
      </c>
      <c r="K44">
        <f t="shared" si="4"/>
        <v>104.39999999999999</v>
      </c>
      <c r="L44" s="1">
        <f t="shared" si="5"/>
        <v>16829.279999999995</v>
      </c>
      <c r="M44" s="7">
        <f t="shared" si="6"/>
        <v>56531.606927545145</v>
      </c>
      <c r="N44" s="7">
        <f t="shared" si="7"/>
        <v>3170285.6003282024</v>
      </c>
      <c r="O44" s="115">
        <f t="shared" si="8"/>
        <v>1.44</v>
      </c>
      <c r="P44" s="9">
        <f t="shared" si="9"/>
        <v>139477.32999999999</v>
      </c>
      <c r="Q44">
        <f t="shared" si="10"/>
        <v>0.52</v>
      </c>
      <c r="R44" s="9">
        <f t="shared" si="11"/>
        <v>53594.7</v>
      </c>
      <c r="S44">
        <f t="shared" si="12"/>
        <v>2.0699999999999998</v>
      </c>
      <c r="T44" s="9">
        <f t="shared" si="13"/>
        <v>200498.66317044536</v>
      </c>
      <c r="U44" s="9">
        <f t="shared" si="14"/>
        <v>124408.42139323711</v>
      </c>
      <c r="V44" s="9">
        <f t="shared" si="15"/>
        <v>18740.7678201542</v>
      </c>
      <c r="W44" s="9">
        <f t="shared" si="16"/>
        <v>126223.91740709869</v>
      </c>
      <c r="X44" s="9">
        <f t="shared" si="17"/>
        <v>19414.567049999998</v>
      </c>
      <c r="Y44" s="9">
        <f t="shared" si="18"/>
        <v>682358.36684093531</v>
      </c>
      <c r="Z44" s="1">
        <f t="shared" si="19"/>
        <v>110422.5605504</v>
      </c>
      <c r="AA44" s="1">
        <f t="shared" si="20"/>
        <v>87163.825481599997</v>
      </c>
      <c r="AB44">
        <f t="shared" si="21"/>
        <v>0.81179000000000001</v>
      </c>
      <c r="AC44" s="116">
        <f t="shared" si="22"/>
        <v>2</v>
      </c>
      <c r="AD44" s="7">
        <f t="shared" si="23"/>
        <v>185736.47266401845</v>
      </c>
      <c r="AE44" s="117">
        <f t="shared" si="24"/>
        <v>2</v>
      </c>
      <c r="AF44" s="118">
        <f t="shared" si="25"/>
        <v>2</v>
      </c>
      <c r="AG44" s="9">
        <f t="shared" si="26"/>
        <v>149601.28389517107</v>
      </c>
      <c r="AH44" s="115">
        <f t="shared" si="27"/>
        <v>1</v>
      </c>
      <c r="AI44" s="9">
        <f t="shared" si="28"/>
        <v>82081.329872402013</v>
      </c>
      <c r="AJ44" s="119">
        <f t="shared" si="29"/>
        <v>1</v>
      </c>
      <c r="AK44" s="119">
        <f t="shared" si="30"/>
        <v>1</v>
      </c>
      <c r="AL44" s="9">
        <f t="shared" si="31"/>
        <v>69739.021360782121</v>
      </c>
      <c r="AM44" s="9">
        <f t="shared" si="32"/>
        <v>16049.375427999998</v>
      </c>
      <c r="AN44" s="7">
        <f t="shared" si="33"/>
        <v>700793.8692523737</v>
      </c>
      <c r="AO44">
        <f t="shared" si="34"/>
        <v>0.78961899999999996</v>
      </c>
      <c r="AP44" s="11">
        <f t="shared" si="35"/>
        <v>1.1499999999999999</v>
      </c>
      <c r="AQ44" s="9">
        <f t="shared" si="36"/>
        <v>104420.4</v>
      </c>
      <c r="AR44" s="1">
        <f t="shared" si="37"/>
        <v>1.2943044699999999</v>
      </c>
      <c r="AS44">
        <f>VLOOKUP(A44,'ADM Data'!$A$2:$T$50,20,FALSE)</f>
        <v>1</v>
      </c>
      <c r="AT44" s="9">
        <f t="shared" si="38"/>
        <v>1.2943044699999999</v>
      </c>
      <c r="AU44" s="1">
        <f t="shared" si="39"/>
        <v>73783.017155063717</v>
      </c>
      <c r="AV44" s="9">
        <f t="shared" si="40"/>
        <v>715470.00988456176</v>
      </c>
      <c r="AW44" s="9">
        <f t="shared" si="41"/>
        <v>893673.42703962547</v>
      </c>
      <c r="AX44" s="7">
        <f t="shared" si="42"/>
        <v>5447111.2634611363</v>
      </c>
      <c r="AY44">
        <f t="shared" si="43"/>
        <v>3.680825550881936E-2</v>
      </c>
    </row>
    <row r="45" spans="1:51" x14ac:dyDescent="0.25">
      <c r="A45" t="s">
        <v>177</v>
      </c>
      <c r="B45" t="s">
        <v>178</v>
      </c>
      <c r="C45" t="s">
        <v>239</v>
      </c>
      <c r="D45" s="1">
        <f>VLOOKUP(A45,'BC ADM'!$A$3:$H$51,8,FALSE)</f>
        <v>37.82</v>
      </c>
      <c r="E45" s="1">
        <f>VLOOKUP(A45,'BC ADM'!$A$3:$G$51,7,FALSE)</f>
        <v>736.319886</v>
      </c>
      <c r="F45" s="1">
        <f>VLOOKUP(A45,'BC ADM'!$A$3:$I$51,9,FALSE)</f>
        <v>739.94657600000005</v>
      </c>
      <c r="G45" s="7">
        <f t="shared" si="0"/>
        <v>96058.458900109545</v>
      </c>
      <c r="H45" s="7">
        <f t="shared" si="1"/>
        <v>3632930.92</v>
      </c>
      <c r="I45" s="1">
        <f t="shared" si="2"/>
        <v>6</v>
      </c>
      <c r="J45" s="114">
        <f t="shared" si="3"/>
        <v>576350.75340065733</v>
      </c>
      <c r="K45">
        <f t="shared" si="4"/>
        <v>104.39999999999999</v>
      </c>
      <c r="L45" s="1">
        <f t="shared" si="5"/>
        <v>22874.04</v>
      </c>
      <c r="M45" s="7">
        <f t="shared" si="6"/>
        <v>76836.694031173349</v>
      </c>
      <c r="N45" s="7">
        <f t="shared" si="7"/>
        <v>4308992.4074318307</v>
      </c>
      <c r="O45" s="115">
        <f t="shared" si="8"/>
        <v>2.0499999999999998</v>
      </c>
      <c r="P45" s="9">
        <f t="shared" si="9"/>
        <v>198561.48</v>
      </c>
      <c r="Q45">
        <f t="shared" si="10"/>
        <v>0.74</v>
      </c>
      <c r="R45" s="9">
        <f t="shared" si="11"/>
        <v>76269.38</v>
      </c>
      <c r="S45">
        <f t="shared" si="12"/>
        <v>2.96</v>
      </c>
      <c r="T45" s="9">
        <f t="shared" si="13"/>
        <v>286703.40240797983</v>
      </c>
      <c r="U45" s="9">
        <f t="shared" si="14"/>
        <v>177808.98461142409</v>
      </c>
      <c r="V45" s="9">
        <f t="shared" si="15"/>
        <v>26784.978537805109</v>
      </c>
      <c r="W45" s="9">
        <f t="shared" si="16"/>
        <v>180403.75672713527</v>
      </c>
      <c r="X45" s="9">
        <f t="shared" si="17"/>
        <v>27747.996600000002</v>
      </c>
      <c r="Y45" s="9">
        <f t="shared" si="18"/>
        <v>974279.97888434422</v>
      </c>
      <c r="Z45" s="1">
        <f t="shared" si="19"/>
        <v>116314.69207222857</v>
      </c>
      <c r="AA45" s="1">
        <f t="shared" si="20"/>
        <v>92319.440563199998</v>
      </c>
      <c r="AB45">
        <f t="shared" si="21"/>
        <v>0.81179000000000001</v>
      </c>
      <c r="AC45" s="116">
        <f t="shared" si="22"/>
        <v>2</v>
      </c>
      <c r="AD45" s="7">
        <f t="shared" si="23"/>
        <v>195302.81956022885</v>
      </c>
      <c r="AE45" s="117">
        <f t="shared" si="24"/>
        <v>2</v>
      </c>
      <c r="AF45" s="118">
        <f t="shared" si="25"/>
        <v>2</v>
      </c>
      <c r="AG45" s="9">
        <f t="shared" si="26"/>
        <v>149601.28389517107</v>
      </c>
      <c r="AH45" s="115">
        <f t="shared" si="27"/>
        <v>1</v>
      </c>
      <c r="AI45" s="9">
        <f t="shared" si="28"/>
        <v>82081.329872402013</v>
      </c>
      <c r="AJ45" s="119">
        <f t="shared" si="29"/>
        <v>1</v>
      </c>
      <c r="AK45" s="119">
        <f t="shared" si="30"/>
        <v>1</v>
      </c>
      <c r="AL45" s="9">
        <f t="shared" si="31"/>
        <v>69739.021360782121</v>
      </c>
      <c r="AM45" s="9">
        <f t="shared" si="32"/>
        <v>22938.343856000003</v>
      </c>
      <c r="AN45" s="7">
        <f t="shared" si="33"/>
        <v>728296.93118001253</v>
      </c>
      <c r="AO45">
        <f t="shared" si="34"/>
        <v>0.78961899999999996</v>
      </c>
      <c r="AP45" s="11">
        <f t="shared" si="35"/>
        <v>1.64</v>
      </c>
      <c r="AQ45" s="9">
        <f t="shared" si="36"/>
        <v>156542.74</v>
      </c>
      <c r="AR45" s="1">
        <f t="shared" si="37"/>
        <v>1.8498664400000002</v>
      </c>
      <c r="AS45">
        <f>VLOOKUP(A45,'ADM Data'!$A$2:$T$50,20,FALSE)</f>
        <v>1</v>
      </c>
      <c r="AT45" s="9">
        <f t="shared" si="38"/>
        <v>1.8498664400000002</v>
      </c>
      <c r="AU45" s="1">
        <f t="shared" si="39"/>
        <v>105453.33840738158</v>
      </c>
      <c r="AV45" s="9">
        <f t="shared" si="40"/>
        <v>1022575.4378426269</v>
      </c>
      <c r="AW45" s="9">
        <f t="shared" si="41"/>
        <v>1284571.5162500085</v>
      </c>
      <c r="AX45" s="7">
        <f t="shared" si="42"/>
        <v>7296140.8337461958</v>
      </c>
      <c r="AY45">
        <f t="shared" si="43"/>
        <v>3.9295212214368984E-2</v>
      </c>
    </row>
    <row r="46" spans="1:51" x14ac:dyDescent="0.25">
      <c r="A46" t="s">
        <v>179</v>
      </c>
      <c r="B46" t="s">
        <v>180</v>
      </c>
      <c r="C46" t="s">
        <v>240</v>
      </c>
      <c r="D46" s="1">
        <f>VLOOKUP(A46,'BC ADM'!$A$3:$H$51,8,FALSE)</f>
        <v>38.81</v>
      </c>
      <c r="E46" s="1">
        <f>VLOOKUP(A46,'BC ADM'!$A$3:$G$51,7,FALSE)</f>
        <v>788.07446900000002</v>
      </c>
      <c r="F46" s="1">
        <f>VLOOKUP(A46,'BC ADM'!$A$3:$I$51,9,FALSE)</f>
        <v>788.07446899999991</v>
      </c>
      <c r="G46" s="7">
        <f t="shared" si="0"/>
        <v>96058.458900109545</v>
      </c>
      <c r="H46" s="7">
        <f t="shared" si="1"/>
        <v>3728028.79</v>
      </c>
      <c r="I46" s="1">
        <f t="shared" si="2"/>
        <v>6</v>
      </c>
      <c r="J46" s="114">
        <f t="shared" si="3"/>
        <v>576350.75340065733</v>
      </c>
      <c r="K46">
        <f t="shared" si="4"/>
        <v>104.39999999999999</v>
      </c>
      <c r="L46" s="1">
        <f t="shared" si="5"/>
        <v>23390.82</v>
      </c>
      <c r="M46" s="7">
        <f t="shared" si="6"/>
        <v>78572.621166975761</v>
      </c>
      <c r="N46" s="7">
        <f t="shared" si="7"/>
        <v>4406342.9845676338</v>
      </c>
      <c r="O46" s="115">
        <f t="shared" si="8"/>
        <v>2.19</v>
      </c>
      <c r="P46" s="9">
        <f t="shared" si="9"/>
        <v>212121.77</v>
      </c>
      <c r="Q46">
        <f t="shared" si="10"/>
        <v>0.79</v>
      </c>
      <c r="R46" s="9">
        <f t="shared" si="11"/>
        <v>81422.710000000006</v>
      </c>
      <c r="S46">
        <f t="shared" si="12"/>
        <v>3.15</v>
      </c>
      <c r="T46" s="9">
        <f t="shared" si="13"/>
        <v>305106.6613463299</v>
      </c>
      <c r="U46" s="9">
        <f t="shared" si="14"/>
        <v>189374.10574770629</v>
      </c>
      <c r="V46" s="9">
        <f t="shared" si="15"/>
        <v>28527.137529935881</v>
      </c>
      <c r="W46" s="9">
        <f t="shared" si="16"/>
        <v>192137.64804060973</v>
      </c>
      <c r="X46" s="9">
        <f t="shared" si="17"/>
        <v>29552.792587499996</v>
      </c>
      <c r="Y46" s="9">
        <f t="shared" si="18"/>
        <v>1038242.8252520816</v>
      </c>
      <c r="Z46" s="1">
        <f t="shared" si="19"/>
        <v>117590.76877805713</v>
      </c>
      <c r="AA46" s="1">
        <f t="shared" si="20"/>
        <v>93436.007680799987</v>
      </c>
      <c r="AB46">
        <f t="shared" si="21"/>
        <v>0.81179000000000001</v>
      </c>
      <c r="AC46" s="116">
        <f t="shared" si="22"/>
        <v>2</v>
      </c>
      <c r="AD46" s="7">
        <f t="shared" si="23"/>
        <v>197374.632178278</v>
      </c>
      <c r="AE46" s="117">
        <f t="shared" si="24"/>
        <v>2</v>
      </c>
      <c r="AF46" s="118">
        <f t="shared" si="25"/>
        <v>2</v>
      </c>
      <c r="AG46" s="9">
        <f t="shared" si="26"/>
        <v>149601.28389517107</v>
      </c>
      <c r="AH46" s="115">
        <f t="shared" si="27"/>
        <v>1</v>
      </c>
      <c r="AI46" s="9">
        <f t="shared" si="28"/>
        <v>82081.329872402013</v>
      </c>
      <c r="AJ46" s="119">
        <f t="shared" si="29"/>
        <v>1</v>
      </c>
      <c r="AK46" s="119">
        <f t="shared" si="30"/>
        <v>1</v>
      </c>
      <c r="AL46" s="9">
        <f t="shared" si="31"/>
        <v>69739.021360782121</v>
      </c>
      <c r="AM46" s="9">
        <f t="shared" si="32"/>
        <v>24430.308538999998</v>
      </c>
      <c r="AN46" s="7">
        <f t="shared" si="33"/>
        <v>734253.35230449028</v>
      </c>
      <c r="AO46">
        <f t="shared" si="34"/>
        <v>0.78961899999999996</v>
      </c>
      <c r="AP46" s="11">
        <f t="shared" si="35"/>
        <v>1.75</v>
      </c>
      <c r="AQ46" s="9">
        <f t="shared" si="36"/>
        <v>168805.88</v>
      </c>
      <c r="AR46" s="1">
        <f t="shared" si="37"/>
        <v>1.9701861724999998</v>
      </c>
      <c r="AS46">
        <f>VLOOKUP(A46,'ADM Data'!$A$2:$T$50,20,FALSE)</f>
        <v>1</v>
      </c>
      <c r="AT46" s="9">
        <f t="shared" si="38"/>
        <v>1.9701861724999998</v>
      </c>
      <c r="AU46" s="1">
        <f t="shared" si="39"/>
        <v>112312.27546037667</v>
      </c>
      <c r="AV46" s="9">
        <f t="shared" si="40"/>
        <v>1089086.1872036969</v>
      </c>
      <c r="AW46" s="9">
        <f t="shared" si="41"/>
        <v>1370204.3426640737</v>
      </c>
      <c r="AX46" s="7">
        <f t="shared" si="42"/>
        <v>7549043.5047882795</v>
      </c>
      <c r="AY46">
        <f t="shared" si="43"/>
        <v>4.0416598626409284E-2</v>
      </c>
    </row>
    <row r="47" spans="1:51" x14ac:dyDescent="0.25">
      <c r="A47" t="s">
        <v>181</v>
      </c>
      <c r="B47" t="s">
        <v>182</v>
      </c>
      <c r="C47" t="s">
        <v>241</v>
      </c>
      <c r="D47" s="1">
        <f>VLOOKUP(A47,'BC ADM'!$A$3:$H$51,8,FALSE)</f>
        <v>26.09</v>
      </c>
      <c r="E47" s="1">
        <f>VLOOKUP(A47,'BC ADM'!$A$3:$G$51,7,FALSE)</f>
        <v>508.48355700000002</v>
      </c>
      <c r="F47" s="1">
        <f>VLOOKUP(A47,'BC ADM'!$A$3:$I$51,9,FALSE)</f>
        <v>519.65214400000002</v>
      </c>
      <c r="G47" s="7">
        <f t="shared" si="0"/>
        <v>96058.458900109545</v>
      </c>
      <c r="H47" s="7">
        <f t="shared" si="1"/>
        <v>2506165.19</v>
      </c>
      <c r="I47" s="1">
        <f t="shared" si="2"/>
        <v>6</v>
      </c>
      <c r="J47" s="114">
        <f t="shared" si="3"/>
        <v>576350.75340065733</v>
      </c>
      <c r="K47">
        <f t="shared" si="4"/>
        <v>104.39999999999999</v>
      </c>
      <c r="L47" s="1">
        <f t="shared" si="5"/>
        <v>16750.98</v>
      </c>
      <c r="M47" s="7">
        <f t="shared" si="6"/>
        <v>56268.587664544793</v>
      </c>
      <c r="N47" s="7">
        <f t="shared" si="7"/>
        <v>3155535.5110652018</v>
      </c>
      <c r="O47" s="115">
        <f t="shared" si="8"/>
        <v>1.41</v>
      </c>
      <c r="P47" s="9">
        <f t="shared" si="9"/>
        <v>136571.54999999999</v>
      </c>
      <c r="Q47">
        <f t="shared" si="10"/>
        <v>0.52</v>
      </c>
      <c r="R47" s="9">
        <f t="shared" si="11"/>
        <v>53594.7</v>
      </c>
      <c r="S47">
        <f t="shared" si="12"/>
        <v>2.08</v>
      </c>
      <c r="T47" s="9">
        <f t="shared" si="13"/>
        <v>201467.255746148</v>
      </c>
      <c r="U47" s="9">
        <f t="shared" si="14"/>
        <v>124872.28547671465</v>
      </c>
      <c r="V47" s="9">
        <f t="shared" si="15"/>
        <v>18810.643870273696</v>
      </c>
      <c r="W47" s="9">
        <f t="shared" si="16"/>
        <v>126694.55067376413</v>
      </c>
      <c r="X47" s="9">
        <f t="shared" si="17"/>
        <v>19486.955400000003</v>
      </c>
      <c r="Y47" s="9">
        <f t="shared" si="18"/>
        <v>681497.94116690045</v>
      </c>
      <c r="Z47" s="1">
        <f t="shared" si="19"/>
        <v>110473.74256091428</v>
      </c>
      <c r="AA47" s="1">
        <f t="shared" si="20"/>
        <v>87208.609740799991</v>
      </c>
      <c r="AB47">
        <f t="shared" si="21"/>
        <v>0.81179000000000001</v>
      </c>
      <c r="AC47" s="116">
        <f t="shared" si="22"/>
        <v>2</v>
      </c>
      <c r="AD47" s="7">
        <f t="shared" si="23"/>
        <v>185819.57075264922</v>
      </c>
      <c r="AE47" s="117">
        <f t="shared" si="24"/>
        <v>2</v>
      </c>
      <c r="AF47" s="118">
        <f t="shared" si="25"/>
        <v>2</v>
      </c>
      <c r="AG47" s="9">
        <f t="shared" si="26"/>
        <v>149601.28389517107</v>
      </c>
      <c r="AH47" s="115">
        <f t="shared" si="27"/>
        <v>1</v>
      </c>
      <c r="AI47" s="9">
        <f t="shared" si="28"/>
        <v>82081.329872402013</v>
      </c>
      <c r="AJ47" s="119">
        <f t="shared" si="29"/>
        <v>1</v>
      </c>
      <c r="AK47" s="119">
        <f t="shared" si="30"/>
        <v>1</v>
      </c>
      <c r="AL47" s="9">
        <f t="shared" si="31"/>
        <v>69739.021360782121</v>
      </c>
      <c r="AM47" s="9">
        <f t="shared" si="32"/>
        <v>16109.216464000001</v>
      </c>
      <c r="AN47" s="7">
        <f t="shared" si="33"/>
        <v>701032.77464671875</v>
      </c>
      <c r="AO47">
        <f t="shared" si="34"/>
        <v>0.78961899999999996</v>
      </c>
      <c r="AP47" s="11">
        <f t="shared" si="35"/>
        <v>1.1499999999999999</v>
      </c>
      <c r="AQ47" s="9">
        <f t="shared" si="36"/>
        <v>104466.88</v>
      </c>
      <c r="AR47" s="1">
        <f t="shared" si="37"/>
        <v>1.2991303600000002</v>
      </c>
      <c r="AS47">
        <f>VLOOKUP(A47,'ADM Data'!$A$2:$T$50,20,FALSE)</f>
        <v>1</v>
      </c>
      <c r="AT47" s="9">
        <f t="shared" si="38"/>
        <v>1.2991303600000002</v>
      </c>
      <c r="AU47" s="1">
        <f t="shared" si="39"/>
        <v>74058.12145464051</v>
      </c>
      <c r="AV47" s="9">
        <f t="shared" si="40"/>
        <v>718137.68170833436</v>
      </c>
      <c r="AW47" s="9">
        <f t="shared" si="41"/>
        <v>896662.68316297489</v>
      </c>
      <c r="AX47" s="7">
        <f t="shared" si="42"/>
        <v>5434728.910041796</v>
      </c>
      <c r="AY47">
        <f t="shared" si="43"/>
        <v>3.7070341332737899E-2</v>
      </c>
    </row>
    <row r="48" spans="1:51" x14ac:dyDescent="0.25">
      <c r="A48" t="s">
        <v>183</v>
      </c>
      <c r="B48" t="s">
        <v>184</v>
      </c>
      <c r="C48" t="s">
        <v>242</v>
      </c>
      <c r="D48" s="1">
        <f>VLOOKUP(A48,'BC ADM'!$A$3:$H$51,8,FALSE)</f>
        <v>36.049999999999997</v>
      </c>
      <c r="E48" s="1">
        <f>VLOOKUP(A48,'BC ADM'!$A$3:$G$51,7,FALSE)</f>
        <v>710.38003300000003</v>
      </c>
      <c r="F48" s="1">
        <f>VLOOKUP(A48,'BC ADM'!$A$3:$I$51,9,FALSE)</f>
        <v>732.07476599999995</v>
      </c>
      <c r="G48" s="7">
        <f t="shared" si="0"/>
        <v>96058.458900109545</v>
      </c>
      <c r="H48" s="7">
        <f t="shared" si="1"/>
        <v>3462907.44</v>
      </c>
      <c r="I48" s="1">
        <f t="shared" si="2"/>
        <v>6</v>
      </c>
      <c r="J48" s="114">
        <f t="shared" si="3"/>
        <v>576350.75340065733</v>
      </c>
      <c r="K48">
        <f t="shared" si="4"/>
        <v>104.39999999999999</v>
      </c>
      <c r="L48" s="1">
        <f t="shared" si="5"/>
        <v>21950.1</v>
      </c>
      <c r="M48" s="7">
        <f t="shared" si="6"/>
        <v>73733.066727769023</v>
      </c>
      <c r="N48" s="7">
        <f t="shared" si="7"/>
        <v>4134941.3601284265</v>
      </c>
      <c r="O48" s="115">
        <f t="shared" si="8"/>
        <v>1.97</v>
      </c>
      <c r="P48" s="9">
        <f t="shared" si="9"/>
        <v>190812.74</v>
      </c>
      <c r="Q48">
        <f t="shared" si="10"/>
        <v>0.73</v>
      </c>
      <c r="R48" s="9">
        <f t="shared" si="11"/>
        <v>75238.710000000006</v>
      </c>
      <c r="S48">
        <f t="shared" si="12"/>
        <v>2.93</v>
      </c>
      <c r="T48" s="9">
        <f t="shared" si="13"/>
        <v>283797.62468087196</v>
      </c>
      <c r="U48" s="9">
        <f t="shared" si="14"/>
        <v>175917.3905578095</v>
      </c>
      <c r="V48" s="9">
        <f t="shared" si="15"/>
        <v>26500.030585152264</v>
      </c>
      <c r="W48" s="9">
        <f t="shared" si="16"/>
        <v>178484.55858188667</v>
      </c>
      <c r="X48" s="9">
        <f t="shared" si="17"/>
        <v>27452.803724999998</v>
      </c>
      <c r="Y48" s="9">
        <f t="shared" si="18"/>
        <v>958203.85813072044</v>
      </c>
      <c r="Z48" s="1">
        <f t="shared" si="19"/>
        <v>116105.97665279999</v>
      </c>
      <c r="AA48" s="1">
        <f t="shared" si="20"/>
        <v>92136.814571199997</v>
      </c>
      <c r="AB48">
        <f t="shared" si="21"/>
        <v>0.81179000000000001</v>
      </c>
      <c r="AC48" s="116">
        <f t="shared" si="22"/>
        <v>2</v>
      </c>
      <c r="AD48" s="7">
        <f t="shared" si="23"/>
        <v>194963.95337955304</v>
      </c>
      <c r="AE48" s="117">
        <f t="shared" si="24"/>
        <v>2</v>
      </c>
      <c r="AF48" s="118">
        <f t="shared" si="25"/>
        <v>2</v>
      </c>
      <c r="AG48" s="9">
        <f t="shared" si="26"/>
        <v>149601.28389517107</v>
      </c>
      <c r="AH48" s="115">
        <f t="shared" si="27"/>
        <v>1</v>
      </c>
      <c r="AI48" s="9">
        <f t="shared" si="28"/>
        <v>82081.329872402013</v>
      </c>
      <c r="AJ48" s="119">
        <f t="shared" si="29"/>
        <v>1</v>
      </c>
      <c r="AK48" s="119">
        <f t="shared" si="30"/>
        <v>1</v>
      </c>
      <c r="AL48" s="9">
        <f t="shared" si="31"/>
        <v>69739.021360782121</v>
      </c>
      <c r="AM48" s="9">
        <f t="shared" si="32"/>
        <v>22694.317745999997</v>
      </c>
      <c r="AN48" s="7">
        <f t="shared" si="33"/>
        <v>727322.69747790822</v>
      </c>
      <c r="AO48">
        <f t="shared" si="34"/>
        <v>0.78961899999999996</v>
      </c>
      <c r="AP48" s="11">
        <f t="shared" si="35"/>
        <v>1.63</v>
      </c>
      <c r="AQ48" s="9">
        <f t="shared" si="36"/>
        <v>155319.57999999999</v>
      </c>
      <c r="AR48" s="1">
        <f t="shared" si="37"/>
        <v>1.8301869149999999</v>
      </c>
      <c r="AS48">
        <f>VLOOKUP(A48,'ADM Data'!$A$2:$T$50,20,FALSE)</f>
        <v>1</v>
      </c>
      <c r="AT48" s="9">
        <f t="shared" si="38"/>
        <v>1.8301869149999999</v>
      </c>
      <c r="AU48" s="1">
        <f t="shared" si="39"/>
        <v>104331.48897833764</v>
      </c>
      <c r="AV48" s="9">
        <f t="shared" si="40"/>
        <v>1011696.9233411097</v>
      </c>
      <c r="AW48" s="9">
        <f t="shared" si="41"/>
        <v>1271347.9923194472</v>
      </c>
      <c r="AX48" s="7">
        <f t="shared" si="42"/>
        <v>7091815.9080565013</v>
      </c>
      <c r="AY48">
        <f t="shared" si="43"/>
        <v>4.0017624309518517E-2</v>
      </c>
    </row>
    <row r="49" spans="1:51" x14ac:dyDescent="0.25">
      <c r="A49" t="s">
        <v>185</v>
      </c>
      <c r="B49" t="s">
        <v>186</v>
      </c>
      <c r="C49" t="s">
        <v>243</v>
      </c>
      <c r="D49" s="1">
        <f>VLOOKUP(A49,'BC ADM'!$A$3:$H$51,8,FALSE)</f>
        <v>56.21</v>
      </c>
      <c r="E49" s="1">
        <f>VLOOKUP(A49,'BC ADM'!$A$3:$G$51,7,FALSE)</f>
        <v>1028.642887</v>
      </c>
      <c r="F49" s="1">
        <f>VLOOKUP(A49,'BC ADM'!$A$3:$I$51,9,FALSE)</f>
        <v>1187.2641430000001</v>
      </c>
      <c r="G49" s="7">
        <f t="shared" si="0"/>
        <v>96058.458900109545</v>
      </c>
      <c r="H49" s="7">
        <f t="shared" si="1"/>
        <v>5399445.9699999997</v>
      </c>
      <c r="I49" s="1">
        <f t="shared" si="2"/>
        <v>7.92</v>
      </c>
      <c r="J49" s="114">
        <f t="shared" si="3"/>
        <v>760782.99448886758</v>
      </c>
      <c r="K49">
        <f t="shared" si="4"/>
        <v>104.39999999999999</v>
      </c>
      <c r="L49" s="1">
        <f t="shared" si="5"/>
        <v>33475.859999999993</v>
      </c>
      <c r="M49" s="7">
        <f t="shared" si="6"/>
        <v>112449.50224142277</v>
      </c>
      <c r="N49" s="7">
        <f t="shared" si="7"/>
        <v>6306154.3267302904</v>
      </c>
      <c r="O49" s="115">
        <f t="shared" si="8"/>
        <v>2.86</v>
      </c>
      <c r="P49" s="9">
        <f t="shared" si="9"/>
        <v>277017.48</v>
      </c>
      <c r="Q49">
        <f t="shared" si="10"/>
        <v>1.19</v>
      </c>
      <c r="R49" s="9">
        <f t="shared" si="11"/>
        <v>122649.4</v>
      </c>
      <c r="S49">
        <f t="shared" si="12"/>
        <v>4.75</v>
      </c>
      <c r="T49" s="9">
        <f t="shared" si="13"/>
        <v>460081.47345875145</v>
      </c>
      <c r="U49" s="9">
        <f t="shared" si="14"/>
        <v>285299.28859672515</v>
      </c>
      <c r="V49" s="9">
        <f t="shared" si="15"/>
        <v>42977.21703216662</v>
      </c>
      <c r="W49" s="9">
        <f t="shared" si="16"/>
        <v>289462.67010582495</v>
      </c>
      <c r="X49" s="9">
        <f t="shared" si="17"/>
        <v>44522.405362500002</v>
      </c>
      <c r="Y49" s="9">
        <f t="shared" si="18"/>
        <v>1522009.9345559683</v>
      </c>
      <c r="Z49" s="1">
        <f t="shared" si="19"/>
        <v>128174.99784868571</v>
      </c>
      <c r="AA49" s="1">
        <f t="shared" si="20"/>
        <v>102697.20811759999</v>
      </c>
      <c r="AB49">
        <f t="shared" si="21"/>
        <v>0.81179000000000001</v>
      </c>
      <c r="AC49" s="116">
        <f t="shared" si="22"/>
        <v>2</v>
      </c>
      <c r="AD49" s="7">
        <f t="shared" si="23"/>
        <v>214558.97481276916</v>
      </c>
      <c r="AE49" s="117">
        <f t="shared" si="24"/>
        <v>2</v>
      </c>
      <c r="AF49" s="118">
        <f t="shared" si="25"/>
        <v>2</v>
      </c>
      <c r="AG49" s="9">
        <f t="shared" si="26"/>
        <v>149601.28389517107</v>
      </c>
      <c r="AH49" s="115">
        <f t="shared" si="27"/>
        <v>1</v>
      </c>
      <c r="AI49" s="9">
        <f t="shared" si="28"/>
        <v>82081.329872402013</v>
      </c>
      <c r="AJ49" s="119">
        <f t="shared" si="29"/>
        <v>1</v>
      </c>
      <c r="AK49" s="119">
        <f t="shared" si="30"/>
        <v>1</v>
      </c>
      <c r="AL49" s="9">
        <f t="shared" si="31"/>
        <v>69739.021360782121</v>
      </c>
      <c r="AM49" s="9">
        <f t="shared" si="32"/>
        <v>36805.188433000003</v>
      </c>
      <c r="AN49" s="7">
        <f t="shared" si="33"/>
        <v>783658.00434041012</v>
      </c>
      <c r="AO49">
        <f t="shared" si="34"/>
        <v>0.78961899999999996</v>
      </c>
      <c r="AP49" s="11">
        <f t="shared" si="35"/>
        <v>2.64</v>
      </c>
      <c r="AQ49" s="9">
        <f t="shared" si="36"/>
        <v>276719.55</v>
      </c>
      <c r="AR49" s="1">
        <f t="shared" si="37"/>
        <v>2.9681603575000004</v>
      </c>
      <c r="AS49">
        <f>VLOOKUP(A49,'ADM Data'!$A$2:$T$50,20,FALSE)</f>
        <v>1</v>
      </c>
      <c r="AT49" s="9">
        <f t="shared" si="38"/>
        <v>2.9681603575000004</v>
      </c>
      <c r="AU49" s="1">
        <f t="shared" si="39"/>
        <v>169202.7120762417</v>
      </c>
      <c r="AV49" s="9">
        <f t="shared" si="40"/>
        <v>1640749.7382122846</v>
      </c>
      <c r="AW49" s="9">
        <f t="shared" si="41"/>
        <v>2086672.0002885263</v>
      </c>
      <c r="AX49" s="7">
        <f t="shared" si="42"/>
        <v>10698494.265915195</v>
      </c>
      <c r="AY49">
        <f t="shared" si="43"/>
        <v>4.3004320236404235E-2</v>
      </c>
    </row>
    <row r="50" spans="1:51" x14ac:dyDescent="0.25">
      <c r="A50" t="s">
        <v>187</v>
      </c>
      <c r="B50" t="s">
        <v>188</v>
      </c>
      <c r="C50" t="s">
        <v>244</v>
      </c>
      <c r="D50" s="1">
        <f>VLOOKUP(A50,'BC ADM'!$A$3:$H$51,8,FALSE)</f>
        <v>74.02</v>
      </c>
      <c r="E50" s="1">
        <f>VLOOKUP(A50,'BC ADM'!$A$3:$G$51,7,FALSE)</f>
        <v>1337.320665</v>
      </c>
      <c r="F50" s="1">
        <f>VLOOKUP(A50,'BC ADM'!$A$3:$I$51,9,FALSE)</f>
        <v>1449.0557369999999</v>
      </c>
      <c r="G50" s="7">
        <f t="shared" si="0"/>
        <v>96058.458900109545</v>
      </c>
      <c r="H50" s="7">
        <f t="shared" si="1"/>
        <v>7110247.1299999999</v>
      </c>
      <c r="I50" s="1">
        <f t="shared" si="2"/>
        <v>9.66</v>
      </c>
      <c r="J50" s="114">
        <f t="shared" si="3"/>
        <v>927924.71297505824</v>
      </c>
      <c r="K50">
        <f t="shared" si="4"/>
        <v>104.39999999999999</v>
      </c>
      <c r="L50" s="1">
        <f t="shared" si="5"/>
        <v>43680.959999999992</v>
      </c>
      <c r="M50" s="7">
        <f t="shared" si="6"/>
        <v>146729.67951913702</v>
      </c>
      <c r="N50" s="7">
        <f t="shared" si="7"/>
        <v>8228582.482494195</v>
      </c>
      <c r="O50" s="115">
        <f t="shared" si="8"/>
        <v>3.71</v>
      </c>
      <c r="P50" s="9">
        <f t="shared" si="9"/>
        <v>359347.85</v>
      </c>
      <c r="Q50">
        <f t="shared" si="10"/>
        <v>1.45</v>
      </c>
      <c r="R50" s="9">
        <f t="shared" si="11"/>
        <v>149446.75</v>
      </c>
      <c r="S50">
        <f t="shared" si="12"/>
        <v>5.8</v>
      </c>
      <c r="T50" s="9">
        <f t="shared" si="13"/>
        <v>561783.69390752807</v>
      </c>
      <c r="U50" s="9">
        <f t="shared" si="14"/>
        <v>348207.74579991942</v>
      </c>
      <c r="V50" s="9">
        <f t="shared" si="15"/>
        <v>52453.687974938824</v>
      </c>
      <c r="W50" s="9">
        <f t="shared" si="16"/>
        <v>353289.15240741335</v>
      </c>
      <c r="X50" s="9">
        <f t="shared" si="17"/>
        <v>54339.590137499996</v>
      </c>
      <c r="Y50" s="9">
        <f t="shared" si="18"/>
        <v>1878868.4702272997</v>
      </c>
      <c r="Z50" s="1">
        <f t="shared" si="19"/>
        <v>135116.2149696</v>
      </c>
      <c r="AA50" s="1">
        <f t="shared" si="20"/>
        <v>108770.77309839999</v>
      </c>
      <c r="AB50">
        <f t="shared" si="21"/>
        <v>0.81179000000000001</v>
      </c>
      <c r="AC50" s="116">
        <f t="shared" si="22"/>
        <v>2</v>
      </c>
      <c r="AD50" s="7">
        <f t="shared" si="23"/>
        <v>225828.5961059432</v>
      </c>
      <c r="AE50" s="117">
        <f t="shared" si="24"/>
        <v>2</v>
      </c>
      <c r="AF50" s="118">
        <f t="shared" si="25"/>
        <v>2</v>
      </c>
      <c r="AG50" s="9">
        <f t="shared" si="26"/>
        <v>149601.28389517107</v>
      </c>
      <c r="AH50" s="115">
        <f t="shared" si="27"/>
        <v>1</v>
      </c>
      <c r="AI50" s="9">
        <f t="shared" si="28"/>
        <v>82081.329872402013</v>
      </c>
      <c r="AJ50" s="119">
        <f t="shared" si="29"/>
        <v>1</v>
      </c>
      <c r="AK50" s="119">
        <f t="shared" si="30"/>
        <v>1</v>
      </c>
      <c r="AL50" s="9">
        <f t="shared" si="31"/>
        <v>69739.021360782121</v>
      </c>
      <c r="AM50" s="9">
        <f t="shared" si="32"/>
        <v>44920.727846999995</v>
      </c>
      <c r="AN50" s="7">
        <f t="shared" si="33"/>
        <v>816057.94714929839</v>
      </c>
      <c r="AO50">
        <f t="shared" si="34"/>
        <v>0.78961899999999996</v>
      </c>
      <c r="AP50" s="11">
        <f t="shared" si="35"/>
        <v>3.22</v>
      </c>
      <c r="AQ50" s="9">
        <f t="shared" si="36"/>
        <v>355162.55</v>
      </c>
      <c r="AR50" s="1">
        <f t="shared" si="37"/>
        <v>3.6226393424999999</v>
      </c>
      <c r="AS50">
        <f>VLOOKUP(A50,'ADM Data'!$A$2:$T$50,20,FALSE)</f>
        <v>1</v>
      </c>
      <c r="AT50" s="9">
        <f t="shared" si="38"/>
        <v>3</v>
      </c>
      <c r="AU50" s="1">
        <f t="shared" si="39"/>
        <v>171017.76019145723</v>
      </c>
      <c r="AV50" s="9">
        <f t="shared" si="40"/>
        <v>2002534.8488417701</v>
      </c>
      <c r="AW50" s="9">
        <f t="shared" si="41"/>
        <v>2528715.1590332272</v>
      </c>
      <c r="AX50" s="7">
        <f t="shared" si="42"/>
        <v>13452224.058904022</v>
      </c>
      <c r="AY50">
        <f t="shared" si="43"/>
        <v>4.1761398817594303E-2</v>
      </c>
    </row>
    <row r="51" spans="1:51" x14ac:dyDescent="0.25">
      <c r="A51" t="s">
        <v>189</v>
      </c>
      <c r="B51" t="s">
        <v>190</v>
      </c>
      <c r="C51" t="s">
        <v>245</v>
      </c>
      <c r="D51" s="1">
        <f>VLOOKUP(A51,'BC ADM'!$A$3:$H$51,8,FALSE)</f>
        <v>24.54</v>
      </c>
      <c r="E51" s="1">
        <f>VLOOKUP(A51,'BC ADM'!$A$3:$G$51,7,FALSE)</f>
        <v>439.349221</v>
      </c>
      <c r="F51" s="1">
        <f>VLOOKUP(A51,'BC ADM'!$A$3:$I$51,9,FALSE)</f>
        <v>476.68874799999998</v>
      </c>
      <c r="G51" s="7">
        <f t="shared" si="0"/>
        <v>96058.458900109545</v>
      </c>
      <c r="H51" s="7">
        <f t="shared" si="1"/>
        <v>2357274.58</v>
      </c>
      <c r="I51" s="1">
        <f t="shared" si="2"/>
        <v>6</v>
      </c>
      <c r="J51" s="114">
        <f t="shared" si="3"/>
        <v>576350.75340065733</v>
      </c>
      <c r="K51">
        <f t="shared" si="4"/>
        <v>104.39999999999999</v>
      </c>
      <c r="L51" s="1">
        <f t="shared" si="5"/>
        <v>15941.88</v>
      </c>
      <c r="M51" s="7">
        <f t="shared" si="6"/>
        <v>53550.721946874342</v>
      </c>
      <c r="N51" s="7">
        <f t="shared" si="7"/>
        <v>3003117.9353475315</v>
      </c>
      <c r="O51" s="115">
        <f t="shared" si="8"/>
        <v>1.22</v>
      </c>
      <c r="P51" s="9">
        <f t="shared" si="9"/>
        <v>118168.29</v>
      </c>
      <c r="Q51">
        <f t="shared" si="10"/>
        <v>0.48</v>
      </c>
      <c r="R51" s="9">
        <f t="shared" si="11"/>
        <v>49472.03</v>
      </c>
      <c r="S51">
        <f t="shared" si="12"/>
        <v>1.91</v>
      </c>
      <c r="T51" s="9">
        <f t="shared" si="13"/>
        <v>185001.18195920321</v>
      </c>
      <c r="U51" s="9">
        <f t="shared" si="14"/>
        <v>114548.19172995404</v>
      </c>
      <c r="V51" s="9">
        <f t="shared" si="15"/>
        <v>17255.432079184575</v>
      </c>
      <c r="W51" s="9">
        <f t="shared" si="16"/>
        <v>116219.79710161491</v>
      </c>
      <c r="X51" s="9">
        <f t="shared" si="17"/>
        <v>17875.82805</v>
      </c>
      <c r="Y51" s="9">
        <f t="shared" si="18"/>
        <v>618540.75091995671</v>
      </c>
      <c r="Z51" s="1">
        <f t="shared" si="19"/>
        <v>109952.68</v>
      </c>
      <c r="AA51" s="1">
        <f t="shared" si="20"/>
        <v>86752.68</v>
      </c>
      <c r="AB51">
        <f t="shared" si="21"/>
        <v>0.81179000000000001</v>
      </c>
      <c r="AC51" s="116">
        <f t="shared" si="22"/>
        <v>2</v>
      </c>
      <c r="AD51" s="7">
        <f t="shared" si="23"/>
        <v>184973.58400000003</v>
      </c>
      <c r="AE51" s="117">
        <f t="shared" si="24"/>
        <v>2</v>
      </c>
      <c r="AF51" s="118">
        <f t="shared" si="25"/>
        <v>2</v>
      </c>
      <c r="AG51" s="9">
        <f t="shared" si="26"/>
        <v>149601.28389517107</v>
      </c>
      <c r="AH51" s="115">
        <f t="shared" si="27"/>
        <v>1</v>
      </c>
      <c r="AI51" s="9">
        <f t="shared" si="28"/>
        <v>82081.329872402013</v>
      </c>
      <c r="AJ51" s="119">
        <f t="shared" si="29"/>
        <v>1</v>
      </c>
      <c r="AK51" s="119">
        <f t="shared" si="30"/>
        <v>1</v>
      </c>
      <c r="AL51" s="9">
        <f t="shared" si="31"/>
        <v>69739.021360782121</v>
      </c>
      <c r="AM51" s="9">
        <f t="shared" si="32"/>
        <v>14777.351187999999</v>
      </c>
      <c r="AN51" s="7">
        <f t="shared" si="33"/>
        <v>697877.9303163552</v>
      </c>
      <c r="AO51">
        <f t="shared" si="34"/>
        <v>0.78961899999999996</v>
      </c>
      <c r="AP51" s="11">
        <f t="shared" si="35"/>
        <v>1.06</v>
      </c>
      <c r="AQ51" s="9">
        <f t="shared" si="36"/>
        <v>95855.08</v>
      </c>
      <c r="AR51" s="1">
        <f t="shared" si="37"/>
        <v>1.1917218699999998</v>
      </c>
      <c r="AS51">
        <f>VLOOKUP(A51,'ADM Data'!$A$2:$T$50,20,FALSE)</f>
        <v>1</v>
      </c>
      <c r="AT51" s="9">
        <f t="shared" si="38"/>
        <v>1.1917218699999998</v>
      </c>
      <c r="AU51" s="1">
        <f t="shared" si="39"/>
        <v>67935.201659524988</v>
      </c>
      <c r="AV51" s="9">
        <f t="shared" si="40"/>
        <v>658764.05271825136</v>
      </c>
      <c r="AW51" s="9">
        <f t="shared" si="41"/>
        <v>822554.33437777637</v>
      </c>
      <c r="AX51" s="7">
        <f t="shared" si="42"/>
        <v>5142090.9509616196</v>
      </c>
      <c r="AY51">
        <f t="shared" si="43"/>
        <v>3.5977812085296983E-2</v>
      </c>
    </row>
    <row r="52" spans="1:51" x14ac:dyDescent="0.25">
      <c r="A52" t="s">
        <v>191</v>
      </c>
      <c r="B52" t="s">
        <v>192</v>
      </c>
      <c r="C52" t="s">
        <v>246</v>
      </c>
      <c r="D52" s="1">
        <f>VLOOKUP(A52,'BC ADM'!$A$3:$H$51,8,FALSE)</f>
        <v>17.260000000000002</v>
      </c>
      <c r="E52" s="1">
        <f>VLOOKUP(A52,'BC ADM'!$A$3:$G$51,7,FALSE)</f>
        <v>338.47873733333341</v>
      </c>
      <c r="F52" s="1">
        <f>VLOOKUP(A52,'BC ADM'!$A$3:$I$51,9,FALSE)</f>
        <v>338.47873733333341</v>
      </c>
      <c r="G52" s="7">
        <f t="shared" si="0"/>
        <v>96058.458900109545</v>
      </c>
      <c r="H52" s="7">
        <f t="shared" si="1"/>
        <v>1657969</v>
      </c>
      <c r="I52" s="1">
        <f t="shared" si="2"/>
        <v>6</v>
      </c>
      <c r="J52" s="114">
        <f t="shared" si="3"/>
        <v>576350.75340065733</v>
      </c>
      <c r="K52">
        <f t="shared" si="4"/>
        <v>104.39999999999999</v>
      </c>
      <c r="L52" s="1">
        <f t="shared" si="5"/>
        <v>12141.720000000001</v>
      </c>
      <c r="M52" s="7">
        <f t="shared" si="6"/>
        <v>40785.520382589959</v>
      </c>
      <c r="N52" s="7">
        <f t="shared" si="7"/>
        <v>2287246.9937832477</v>
      </c>
      <c r="O52" s="115">
        <f t="shared" si="8"/>
        <v>1</v>
      </c>
      <c r="P52" s="9">
        <f t="shared" si="9"/>
        <v>96859.26</v>
      </c>
      <c r="Q52">
        <f t="shared" si="10"/>
        <v>0.34</v>
      </c>
      <c r="R52" s="9">
        <f t="shared" si="11"/>
        <v>35042.69</v>
      </c>
      <c r="S52">
        <f t="shared" si="12"/>
        <v>1.35</v>
      </c>
      <c r="T52" s="9">
        <f t="shared" si="13"/>
        <v>130759.99771985569</v>
      </c>
      <c r="U52" s="9">
        <f t="shared" si="14"/>
        <v>81336.359339808521</v>
      </c>
      <c r="V52" s="9">
        <f t="shared" si="15"/>
        <v>12252.432822902483</v>
      </c>
      <c r="W52" s="9">
        <f t="shared" si="16"/>
        <v>82523.303394798859</v>
      </c>
      <c r="X52" s="9">
        <f t="shared" si="17"/>
        <v>12692.952650000003</v>
      </c>
      <c r="Y52" s="9">
        <f t="shared" si="18"/>
        <v>451466.99592736561</v>
      </c>
      <c r="Z52" s="1">
        <f t="shared" si="19"/>
        <v>109952.68</v>
      </c>
      <c r="AA52" s="1">
        <f t="shared" si="20"/>
        <v>86752.68</v>
      </c>
      <c r="AB52">
        <f t="shared" si="21"/>
        <v>0.81179000000000001</v>
      </c>
      <c r="AC52" s="116">
        <f t="shared" si="22"/>
        <v>2</v>
      </c>
      <c r="AD52" s="7">
        <f t="shared" si="23"/>
        <v>184973.58400000003</v>
      </c>
      <c r="AE52" s="117">
        <f t="shared" si="24"/>
        <v>2</v>
      </c>
      <c r="AF52" s="118">
        <f t="shared" si="25"/>
        <v>2</v>
      </c>
      <c r="AG52" s="9">
        <f t="shared" si="26"/>
        <v>149601.28389517107</v>
      </c>
      <c r="AH52" s="115">
        <f t="shared" si="27"/>
        <v>1</v>
      </c>
      <c r="AI52" s="9">
        <f t="shared" si="28"/>
        <v>82081.329872402013</v>
      </c>
      <c r="AJ52" s="119">
        <f t="shared" si="29"/>
        <v>1</v>
      </c>
      <c r="AK52" s="119">
        <f t="shared" si="30"/>
        <v>1</v>
      </c>
      <c r="AL52" s="9">
        <f t="shared" si="31"/>
        <v>69739.021360782121</v>
      </c>
      <c r="AM52" s="9">
        <f t="shared" si="32"/>
        <v>10492.840857333336</v>
      </c>
      <c r="AN52" s="7">
        <f t="shared" si="33"/>
        <v>693593.41998568864</v>
      </c>
      <c r="AO52">
        <f t="shared" si="34"/>
        <v>0.78961899999999996</v>
      </c>
      <c r="AP52" s="11">
        <f t="shared" si="35"/>
        <v>0.75</v>
      </c>
      <c r="AQ52" s="9">
        <f t="shared" si="36"/>
        <v>67821.990000000005</v>
      </c>
      <c r="AR52" s="1">
        <f t="shared" si="37"/>
        <v>0.84619684333333356</v>
      </c>
      <c r="AS52">
        <f>VLOOKUP(A52,'ADM Data'!$A$2:$T$50,20,FALSE)</f>
        <v>1</v>
      </c>
      <c r="AT52" s="9">
        <f t="shared" si="38"/>
        <v>0.84619684333333356</v>
      </c>
      <c r="AU52" s="1">
        <f t="shared" si="39"/>
        <v>57005.920063819081</v>
      </c>
      <c r="AV52" s="9">
        <f t="shared" si="40"/>
        <v>467763.55787752563</v>
      </c>
      <c r="AW52" s="9">
        <f t="shared" si="41"/>
        <v>592591.46794134472</v>
      </c>
      <c r="AX52" s="7">
        <f t="shared" si="42"/>
        <v>4024898.8776376466</v>
      </c>
      <c r="AY52">
        <f t="shared" si="43"/>
        <v>3.2487772164006092E-2</v>
      </c>
    </row>
    <row r="53" spans="1:51" x14ac:dyDescent="0.25">
      <c r="A53" t="s">
        <v>193</v>
      </c>
      <c r="B53" t="s">
        <v>194</v>
      </c>
      <c r="C53" t="s">
        <v>247</v>
      </c>
      <c r="D53" s="1">
        <f>VLOOKUP(A53,'BC ADM'!$A$3:$H$51,8,FALSE)</f>
        <v>48.6</v>
      </c>
      <c r="E53" s="1">
        <f>VLOOKUP(A53,'BC ADM'!$A$3:$G$51,7,FALSE)</f>
        <v>834.20081000000005</v>
      </c>
      <c r="F53" s="1">
        <f>VLOOKUP(A53,'BC ADM'!$A$3:$I$51,9,FALSE)</f>
        <v>936.96177</v>
      </c>
      <c r="G53" s="7">
        <f t="shared" si="0"/>
        <v>96058.458900109545</v>
      </c>
      <c r="H53" s="7">
        <f t="shared" si="1"/>
        <v>4668441.0999999996</v>
      </c>
      <c r="I53" s="1">
        <f t="shared" si="2"/>
        <v>6.25</v>
      </c>
      <c r="J53" s="114">
        <f t="shared" si="3"/>
        <v>600365.36812568468</v>
      </c>
      <c r="K53">
        <f t="shared" si="4"/>
        <v>104.39999999999999</v>
      </c>
      <c r="L53" s="1">
        <f t="shared" si="5"/>
        <v>28631.699999999997</v>
      </c>
      <c r="M53" s="7">
        <f t="shared" si="6"/>
        <v>96177.377170466862</v>
      </c>
      <c r="N53" s="7">
        <f t="shared" si="7"/>
        <v>5393615.5452961512</v>
      </c>
      <c r="O53" s="115">
        <f t="shared" si="8"/>
        <v>2.3199999999999998</v>
      </c>
      <c r="P53" s="9">
        <f t="shared" si="9"/>
        <v>224713.48</v>
      </c>
      <c r="Q53">
        <f t="shared" si="10"/>
        <v>0.94</v>
      </c>
      <c r="R53" s="9">
        <f t="shared" si="11"/>
        <v>96882.72</v>
      </c>
      <c r="S53">
        <f t="shared" si="12"/>
        <v>3.75</v>
      </c>
      <c r="T53" s="9">
        <f t="shared" si="13"/>
        <v>363222.21588848799</v>
      </c>
      <c r="U53" s="9">
        <f t="shared" si="14"/>
        <v>225151.68844219731</v>
      </c>
      <c r="V53" s="9">
        <f t="shared" si="15"/>
        <v>33916.639003670294</v>
      </c>
      <c r="W53" s="9">
        <f t="shared" si="16"/>
        <v>228437.3341268168</v>
      </c>
      <c r="X53" s="9">
        <f t="shared" si="17"/>
        <v>35136.066375000002</v>
      </c>
      <c r="Y53" s="9">
        <f t="shared" si="18"/>
        <v>1207460.1438361723</v>
      </c>
      <c r="Z53" s="1">
        <f t="shared" si="19"/>
        <v>121538.409216</v>
      </c>
      <c r="AA53" s="1">
        <f t="shared" si="20"/>
        <v>96890.193063999992</v>
      </c>
      <c r="AB53">
        <f t="shared" si="21"/>
        <v>0.81179000000000001</v>
      </c>
      <c r="AC53" s="116">
        <f t="shared" si="22"/>
        <v>2</v>
      </c>
      <c r="AD53" s="7">
        <f t="shared" si="23"/>
        <v>203783.94224051328</v>
      </c>
      <c r="AE53" s="117">
        <f t="shared" si="24"/>
        <v>2</v>
      </c>
      <c r="AF53" s="118">
        <f t="shared" si="25"/>
        <v>2</v>
      </c>
      <c r="AG53" s="9">
        <f t="shared" si="26"/>
        <v>149601.28389517107</v>
      </c>
      <c r="AH53" s="115">
        <f t="shared" si="27"/>
        <v>1</v>
      </c>
      <c r="AI53" s="9">
        <f t="shared" si="28"/>
        <v>82081.329872402013</v>
      </c>
      <c r="AJ53" s="119">
        <f t="shared" si="29"/>
        <v>1</v>
      </c>
      <c r="AK53" s="119">
        <f t="shared" si="30"/>
        <v>1</v>
      </c>
      <c r="AL53" s="9">
        <f t="shared" si="31"/>
        <v>69739.021360782121</v>
      </c>
      <c r="AM53" s="9">
        <f t="shared" si="32"/>
        <v>29045.814869999998</v>
      </c>
      <c r="AN53" s="7">
        <f t="shared" si="33"/>
        <v>752679.99451886851</v>
      </c>
      <c r="AO53">
        <f t="shared" si="34"/>
        <v>0.78961899999999996</v>
      </c>
      <c r="AP53" s="11">
        <f t="shared" si="35"/>
        <v>2.08</v>
      </c>
      <c r="AQ53" s="9">
        <f t="shared" si="36"/>
        <v>207121.48</v>
      </c>
      <c r="AR53" s="1">
        <f t="shared" si="37"/>
        <v>2.3424044249999998</v>
      </c>
      <c r="AS53">
        <f>VLOOKUP(A53,'ADM Data'!$A$2:$T$50,20,FALSE)</f>
        <v>1</v>
      </c>
      <c r="AT53" s="9">
        <f t="shared" si="38"/>
        <v>2.3424044249999998</v>
      </c>
      <c r="AU53" s="1">
        <f t="shared" si="39"/>
        <v>133530.91940868608</v>
      </c>
      <c r="AV53" s="9">
        <f t="shared" si="40"/>
        <v>1294842.2538542198</v>
      </c>
      <c r="AW53" s="9">
        <f t="shared" si="41"/>
        <v>1635494.6532629058</v>
      </c>
      <c r="AX53" s="7">
        <f t="shared" si="42"/>
        <v>8989250.3369140979</v>
      </c>
      <c r="AY53">
        <f t="shared" si="43"/>
        <v>4.0406285538286367E-2</v>
      </c>
    </row>
    <row r="54" spans="1:51" x14ac:dyDescent="0.25">
      <c r="A54" t="s">
        <v>195</v>
      </c>
      <c r="B54" t="s">
        <v>196</v>
      </c>
      <c r="C54" t="s">
        <v>248</v>
      </c>
      <c r="D54" s="1">
        <f>VLOOKUP(A54,'BC ADM'!$A$3:$H$51,8,FALSE)</f>
        <v>12.48</v>
      </c>
      <c r="E54" s="1">
        <f>VLOOKUP(A54,'BC ADM'!$A$3:$G$51,7,FALSE)</f>
        <v>247.08869300000001</v>
      </c>
      <c r="F54" s="1">
        <f>VLOOKUP(A54,'BC ADM'!$A$3:$I$51,9,FALSE)</f>
        <v>247.08869300000001</v>
      </c>
      <c r="G54" s="7">
        <f t="shared" si="0"/>
        <v>96058.458900109545</v>
      </c>
      <c r="H54" s="7">
        <f t="shared" si="1"/>
        <v>1198809.57</v>
      </c>
      <c r="I54" s="1">
        <f t="shared" si="2"/>
        <v>6</v>
      </c>
      <c r="J54" s="114">
        <f t="shared" si="3"/>
        <v>576350.75340065733</v>
      </c>
      <c r="K54">
        <f t="shared" si="4"/>
        <v>104.39999999999999</v>
      </c>
      <c r="L54" s="1">
        <f t="shared" si="5"/>
        <v>9646.56</v>
      </c>
      <c r="M54" s="7">
        <f t="shared" si="6"/>
        <v>32403.973201644989</v>
      </c>
      <c r="N54" s="7">
        <f t="shared" si="7"/>
        <v>1817210.8566023025</v>
      </c>
      <c r="O54" s="115">
        <f t="shared" si="8"/>
        <v>1</v>
      </c>
      <c r="P54" s="9">
        <f t="shared" si="9"/>
        <v>96859.26</v>
      </c>
      <c r="Q54">
        <f t="shared" si="10"/>
        <v>0.25</v>
      </c>
      <c r="R54" s="9">
        <f t="shared" si="11"/>
        <v>25766.68</v>
      </c>
      <c r="S54">
        <f t="shared" si="12"/>
        <v>0.99</v>
      </c>
      <c r="T54" s="9">
        <f t="shared" si="13"/>
        <v>95890.664994560822</v>
      </c>
      <c r="U54" s="9">
        <f t="shared" si="14"/>
        <v>59375.35362187268</v>
      </c>
      <c r="V54" s="9">
        <f t="shared" si="15"/>
        <v>8944.2475357022468</v>
      </c>
      <c r="W54" s="9">
        <f t="shared" si="16"/>
        <v>60241.820028366223</v>
      </c>
      <c r="X54" s="9">
        <f t="shared" si="17"/>
        <v>9265.8259875000003</v>
      </c>
      <c r="Y54" s="9">
        <f t="shared" si="18"/>
        <v>356343.85216800199</v>
      </c>
      <c r="Z54" s="1">
        <f t="shared" si="19"/>
        <v>109952.68</v>
      </c>
      <c r="AA54" s="1">
        <f t="shared" si="20"/>
        <v>86752.68</v>
      </c>
      <c r="AB54">
        <f t="shared" si="21"/>
        <v>0.81179000000000001</v>
      </c>
      <c r="AC54" s="116">
        <f t="shared" si="22"/>
        <v>2</v>
      </c>
      <c r="AD54" s="7">
        <f t="shared" si="23"/>
        <v>184973.58400000003</v>
      </c>
      <c r="AE54" s="117">
        <f t="shared" si="24"/>
        <v>2</v>
      </c>
      <c r="AF54" s="118">
        <f t="shared" si="25"/>
        <v>2</v>
      </c>
      <c r="AG54" s="9">
        <f t="shared" si="26"/>
        <v>149601.28389517107</v>
      </c>
      <c r="AH54" s="115">
        <f t="shared" si="27"/>
        <v>1</v>
      </c>
      <c r="AI54" s="9">
        <f t="shared" si="28"/>
        <v>82081.329872402013</v>
      </c>
      <c r="AJ54" s="119">
        <f t="shared" si="29"/>
        <v>1</v>
      </c>
      <c r="AK54" s="119">
        <f t="shared" si="30"/>
        <v>1</v>
      </c>
      <c r="AL54" s="9">
        <f t="shared" si="31"/>
        <v>69739.021360782121</v>
      </c>
      <c r="AM54" s="9">
        <f t="shared" si="32"/>
        <v>7659.7494830000005</v>
      </c>
      <c r="AN54" s="7">
        <f t="shared" si="33"/>
        <v>690760.32861135527</v>
      </c>
      <c r="AO54">
        <f t="shared" si="34"/>
        <v>0.78961899999999996</v>
      </c>
      <c r="AP54" s="11">
        <f t="shared" si="35"/>
        <v>0.55000000000000004</v>
      </c>
      <c r="AQ54" s="9">
        <f t="shared" si="36"/>
        <v>49736.13</v>
      </c>
      <c r="AR54" s="1">
        <f t="shared" si="37"/>
        <v>0.61772173250000006</v>
      </c>
      <c r="AS54">
        <f>VLOOKUP(A54,'ADM Data'!$A$2:$T$50,20,FALSE)</f>
        <v>1</v>
      </c>
      <c r="AT54" s="9">
        <f t="shared" si="38"/>
        <v>0.61772173250000006</v>
      </c>
      <c r="AU54" s="1">
        <f t="shared" si="39"/>
        <v>57005.920063819081</v>
      </c>
      <c r="AV54" s="9">
        <f t="shared" si="40"/>
        <v>341466.31206309877</v>
      </c>
      <c r="AW54" s="9">
        <f t="shared" si="41"/>
        <v>448208.36212691781</v>
      </c>
      <c r="AX54" s="7">
        <f t="shared" si="42"/>
        <v>3312523.3995085778</v>
      </c>
      <c r="AY54">
        <f t="shared" si="43"/>
        <v>2.8947920793189409E-2</v>
      </c>
    </row>
    <row r="55" spans="1:51" x14ac:dyDescent="0.25">
      <c r="A55" t="s">
        <v>197</v>
      </c>
      <c r="B55" t="s">
        <v>198</v>
      </c>
      <c r="C55" t="s">
        <v>249</v>
      </c>
      <c r="D55" s="1">
        <f>VLOOKUP(A55,'BC ADM'!$A$3:$H$51,8,FALSE)</f>
        <v>30.9</v>
      </c>
      <c r="E55" s="1">
        <f>VLOOKUP(A55,'BC ADM'!$A$3:$G$51,7,FALSE)</f>
        <v>607.23261000000002</v>
      </c>
      <c r="F55" s="1">
        <f>VLOOKUP(A55,'BC ADM'!$A$3:$I$51,9,FALSE)</f>
        <v>607.23261000000002</v>
      </c>
      <c r="G55" s="7">
        <f t="shared" si="0"/>
        <v>96058.458900109545</v>
      </c>
      <c r="H55" s="7">
        <f t="shared" si="1"/>
        <v>2968206.38</v>
      </c>
      <c r="I55" s="1">
        <f t="shared" si="2"/>
        <v>6</v>
      </c>
      <c r="J55" s="114">
        <f t="shared" si="3"/>
        <v>576350.75340065733</v>
      </c>
      <c r="K55">
        <f t="shared" si="4"/>
        <v>104.39999999999999</v>
      </c>
      <c r="L55" s="1">
        <f t="shared" si="5"/>
        <v>19261.8</v>
      </c>
      <c r="M55" s="7">
        <f t="shared" si="6"/>
        <v>64702.73869808983</v>
      </c>
      <c r="N55" s="7">
        <f t="shared" si="7"/>
        <v>3628521.672098747</v>
      </c>
      <c r="O55" s="115">
        <f t="shared" si="8"/>
        <v>1.69</v>
      </c>
      <c r="P55" s="9">
        <f t="shared" si="9"/>
        <v>163692.15</v>
      </c>
      <c r="Q55">
        <f t="shared" si="10"/>
        <v>0.61</v>
      </c>
      <c r="R55" s="9">
        <f t="shared" si="11"/>
        <v>62870.7</v>
      </c>
      <c r="S55">
        <f t="shared" si="12"/>
        <v>2.4300000000000002</v>
      </c>
      <c r="T55" s="9">
        <f t="shared" si="13"/>
        <v>235367.99589574023</v>
      </c>
      <c r="U55" s="9">
        <f t="shared" si="14"/>
        <v>145917.85043552236</v>
      </c>
      <c r="V55" s="9">
        <f t="shared" si="15"/>
        <v>21980.928020816165</v>
      </c>
      <c r="W55" s="9">
        <f t="shared" si="16"/>
        <v>148047.23422522249</v>
      </c>
      <c r="X55" s="9">
        <f t="shared" si="17"/>
        <v>22771.222874999999</v>
      </c>
      <c r="Y55" s="9">
        <f t="shared" si="18"/>
        <v>800648.08145230124</v>
      </c>
      <c r="Z55" s="1">
        <f t="shared" si="19"/>
        <v>112795.87605942857</v>
      </c>
      <c r="AA55" s="1">
        <f t="shared" si="20"/>
        <v>89240.476551999993</v>
      </c>
      <c r="AB55">
        <f t="shared" si="21"/>
        <v>0.81179000000000001</v>
      </c>
      <c r="AC55" s="116">
        <f t="shared" si="22"/>
        <v>2</v>
      </c>
      <c r="AD55" s="7">
        <f t="shared" si="23"/>
        <v>189589.74025816703</v>
      </c>
      <c r="AE55" s="117">
        <f t="shared" si="24"/>
        <v>2</v>
      </c>
      <c r="AF55" s="118">
        <f t="shared" si="25"/>
        <v>2</v>
      </c>
      <c r="AG55" s="9">
        <f t="shared" si="26"/>
        <v>149601.28389517107</v>
      </c>
      <c r="AH55" s="115">
        <f t="shared" si="27"/>
        <v>1</v>
      </c>
      <c r="AI55" s="9">
        <f t="shared" si="28"/>
        <v>82081.329872402013</v>
      </c>
      <c r="AJ55" s="119">
        <f t="shared" si="29"/>
        <v>1</v>
      </c>
      <c r="AK55" s="119">
        <f t="shared" si="30"/>
        <v>1</v>
      </c>
      <c r="AL55" s="9">
        <f t="shared" si="31"/>
        <v>69739.021360782121</v>
      </c>
      <c r="AM55" s="9">
        <f t="shared" si="32"/>
        <v>18824.210910000002</v>
      </c>
      <c r="AN55" s="7">
        <f t="shared" si="33"/>
        <v>711871.93890795077</v>
      </c>
      <c r="AO55">
        <f t="shared" si="34"/>
        <v>0.78961899999999996</v>
      </c>
      <c r="AP55" s="11">
        <f t="shared" si="35"/>
        <v>1.35</v>
      </c>
      <c r="AQ55" s="9">
        <f t="shared" si="36"/>
        <v>125110.39</v>
      </c>
      <c r="AR55" s="1">
        <f t="shared" si="37"/>
        <v>1.5180815250000002</v>
      </c>
      <c r="AS55">
        <f>VLOOKUP(A55,'ADM Data'!$A$2:$T$50,20,FALSE)</f>
        <v>1</v>
      </c>
      <c r="AT55" s="9">
        <f t="shared" si="38"/>
        <v>1.5180815250000002</v>
      </c>
      <c r="AU55" s="1">
        <f t="shared" si="39"/>
        <v>86539.634064510581</v>
      </c>
      <c r="AV55" s="9">
        <f t="shared" si="40"/>
        <v>839170.24847895384</v>
      </c>
      <c r="AW55" s="9">
        <f t="shared" si="41"/>
        <v>1050820.2725434643</v>
      </c>
      <c r="AX55" s="7">
        <f t="shared" si="42"/>
        <v>6191861.9650024641</v>
      </c>
      <c r="AY55">
        <f t="shared" si="43"/>
        <v>3.801247463623756E-2</v>
      </c>
    </row>
    <row r="56" spans="1:51" x14ac:dyDescent="0.25">
      <c r="A56" s="135" t="s">
        <v>914</v>
      </c>
      <c r="B56" t="s">
        <v>250</v>
      </c>
      <c r="C56" t="s">
        <v>317</v>
      </c>
      <c r="D56" s="1">
        <f>SUM(D7:D55)</f>
        <v>2534.4300000000007</v>
      </c>
      <c r="E56" s="1">
        <f t="shared" ref="E56:N56" si="44">SUM(E7:E55)</f>
        <v>46310.908782333332</v>
      </c>
      <c r="F56" s="1">
        <f t="shared" si="44"/>
        <v>49230.915150333334</v>
      </c>
      <c r="G56" s="7">
        <f t="shared" si="0"/>
        <v>96058.458900109545</v>
      </c>
      <c r="H56" s="1">
        <f t="shared" si="44"/>
        <v>243453439.97000003</v>
      </c>
      <c r="I56" s="1">
        <f t="shared" si="44"/>
        <v>385.95000000000005</v>
      </c>
      <c r="J56" s="1">
        <f t="shared" si="44"/>
        <v>37073762.212497279</v>
      </c>
      <c r="K56">
        <f t="shared" si="4"/>
        <v>104.39999999999999</v>
      </c>
      <c r="L56" s="1">
        <f t="shared" si="44"/>
        <v>1524438.36</v>
      </c>
      <c r="M56" s="1">
        <f t="shared" si="44"/>
        <v>5120774.6352067087</v>
      </c>
      <c r="N56" s="1">
        <f t="shared" si="44"/>
        <v>287172415.17770404</v>
      </c>
      <c r="O56" s="17">
        <f t="shared" ref="O56:U56" si="45">SUM(O7:O55)</f>
        <v>129.11999999999998</v>
      </c>
      <c r="P56" s="9">
        <f t="shared" si="45"/>
        <v>12506467.349999998</v>
      </c>
      <c r="Q56">
        <f t="shared" si="45"/>
        <v>49.240000000000009</v>
      </c>
      <c r="R56" s="9">
        <f t="shared" si="45"/>
        <v>5075005.4800000014</v>
      </c>
      <c r="S56">
        <f t="shared" si="45"/>
        <v>196.94</v>
      </c>
      <c r="T56" s="9">
        <f t="shared" si="45"/>
        <v>19075462.185887691</v>
      </c>
      <c r="U56" s="9">
        <f t="shared" si="45"/>
        <v>11830177.094260845</v>
      </c>
      <c r="V56" s="9">
        <f t="shared" ref="V56:AA56" si="46">SUM(V7:V55)</f>
        <v>1782086.7728404526</v>
      </c>
      <c r="W56" s="9">
        <f t="shared" si="46"/>
        <v>12002815.241400581</v>
      </c>
      <c r="X56" s="9">
        <f t="shared" si="46"/>
        <v>1846159.3181375004</v>
      </c>
      <c r="Y56" s="9">
        <f t="shared" si="46"/>
        <v>64118173.442527056</v>
      </c>
      <c r="Z56" s="9">
        <f t="shared" si="46"/>
        <v>6055147.5097618261</v>
      </c>
      <c r="AA56" s="9">
        <f t="shared" si="46"/>
        <v>4834914.236041598</v>
      </c>
      <c r="AB56" s="9">
        <f t="shared" ref="AB56:AL56" si="47">SUM(AB7:AB55)</f>
        <v>39.777709999999992</v>
      </c>
      <c r="AC56" s="17">
        <f t="shared" si="47"/>
        <v>107.17</v>
      </c>
      <c r="AD56" s="7">
        <f t="shared" si="47"/>
        <v>11602043.341472937</v>
      </c>
      <c r="AE56" s="118">
        <f t="shared" si="47"/>
        <v>105.03999999999999</v>
      </c>
      <c r="AF56" s="118">
        <f t="shared" si="47"/>
        <v>105.04339625764706</v>
      </c>
      <c r="AG56" s="9">
        <f t="shared" si="47"/>
        <v>7857059.4301743899</v>
      </c>
      <c r="AH56" s="37">
        <f t="shared" si="47"/>
        <v>49</v>
      </c>
      <c r="AI56" s="9">
        <f t="shared" si="47"/>
        <v>4021985.1637476943</v>
      </c>
      <c r="AJ56" s="119">
        <f t="shared" si="47"/>
        <v>52.056666666666665</v>
      </c>
      <c r="AK56" s="119">
        <f t="shared" si="47"/>
        <v>52.056666666666665</v>
      </c>
      <c r="AL56" s="9">
        <f t="shared" si="47"/>
        <v>3630380.9886377789</v>
      </c>
      <c r="AM56" s="9">
        <f t="shared" ref="AM56:AN56" si="48">SUM(AM7:AM55)</f>
        <v>1526158.369660333</v>
      </c>
      <c r="AN56" s="9">
        <f t="shared" si="48"/>
        <v>39527689.039496571</v>
      </c>
      <c r="AO56" s="9">
        <f t="shared" ref="AO56:AW56" si="49">SUM(AO7:AO55)</f>
        <v>38.691330999999984</v>
      </c>
      <c r="AP56" s="11">
        <f t="shared" si="49"/>
        <v>109.39</v>
      </c>
      <c r="AQ56" s="9">
        <f t="shared" si="49"/>
        <v>12356269.690000007</v>
      </c>
      <c r="AR56" s="9">
        <f t="shared" si="49"/>
        <v>123.07728787583331</v>
      </c>
      <c r="AS56">
        <f t="shared" si="49"/>
        <v>65</v>
      </c>
      <c r="AT56" s="9">
        <f t="shared" si="49"/>
        <v>121.42471971083332</v>
      </c>
      <c r="AU56" s="1">
        <f t="shared" si="49"/>
        <v>7040621.0607736809</v>
      </c>
      <c r="AV56" s="1">
        <f t="shared" si="49"/>
        <v>68035080.164010823</v>
      </c>
      <c r="AW56" s="9">
        <f t="shared" si="49"/>
        <v>87431970.914784521</v>
      </c>
      <c r="AX56" s="104">
        <f>SUM(AX7:AX55)</f>
        <v>478250248.57451212</v>
      </c>
    </row>
    <row r="58" spans="1:51" x14ac:dyDescent="0.25">
      <c r="T58" s="6"/>
      <c r="AX58" s="68"/>
    </row>
    <row r="59" spans="1:51" x14ac:dyDescent="0.25">
      <c r="AX59" s="25"/>
    </row>
    <row r="60" spans="1:51" x14ac:dyDescent="0.25">
      <c r="AX60" s="9"/>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1D5DC-72FE-42D4-902C-61C9C419A79D}">
  <dimension ref="A1:I47"/>
  <sheetViews>
    <sheetView topLeftCell="A36" workbookViewId="0">
      <selection activeCell="C47" sqref="C47"/>
    </sheetView>
  </sheetViews>
  <sheetFormatPr defaultRowHeight="15" x14ac:dyDescent="0.25"/>
  <cols>
    <col min="1" max="1" width="25.140625" customWidth="1"/>
    <col min="2" max="2" width="45" customWidth="1"/>
    <col min="3" max="4" width="39.28515625" style="18" bestFit="1" customWidth="1"/>
    <col min="5" max="8" width="10.85546875" bestFit="1" customWidth="1"/>
    <col min="9" max="9" width="27.140625" customWidth="1"/>
  </cols>
  <sheetData>
    <row r="1" spans="1:5" ht="23.25" x14ac:dyDescent="0.25">
      <c r="A1" s="81" t="s">
        <v>17</v>
      </c>
      <c r="B1" s="82" t="s">
        <v>18</v>
      </c>
      <c r="C1" s="83" t="s">
        <v>19</v>
      </c>
      <c r="D1" s="83" t="s">
        <v>20</v>
      </c>
    </row>
    <row r="2" spans="1:5" x14ac:dyDescent="0.25">
      <c r="A2" s="129" t="s">
        <v>21</v>
      </c>
      <c r="B2" s="84" t="s">
        <v>22</v>
      </c>
      <c r="C2" s="18" t="s">
        <v>34</v>
      </c>
      <c r="D2" s="18" t="s">
        <v>34</v>
      </c>
    </row>
    <row r="3" spans="1:5" x14ac:dyDescent="0.25">
      <c r="A3" s="129"/>
      <c r="B3" s="84" t="s">
        <v>23</v>
      </c>
      <c r="C3" s="18" t="s">
        <v>34</v>
      </c>
      <c r="D3" s="18" t="s">
        <v>34</v>
      </c>
    </row>
    <row r="4" spans="1:5" x14ac:dyDescent="0.25">
      <c r="A4" s="129"/>
      <c r="B4" s="84" t="s">
        <v>24</v>
      </c>
      <c r="C4" s="18" t="s">
        <v>34</v>
      </c>
      <c r="D4" s="18" t="s">
        <v>34</v>
      </c>
    </row>
    <row r="5" spans="1:5" x14ac:dyDescent="0.25">
      <c r="A5" s="129"/>
      <c r="B5" s="84" t="s">
        <v>25</v>
      </c>
      <c r="C5" s="18" t="s">
        <v>26</v>
      </c>
      <c r="D5" s="18" t="s">
        <v>27</v>
      </c>
    </row>
    <row r="6" spans="1:5" x14ac:dyDescent="0.25">
      <c r="A6" s="129"/>
      <c r="B6" s="8" t="s">
        <v>28</v>
      </c>
      <c r="C6" s="18" t="s">
        <v>29</v>
      </c>
      <c r="D6" s="18" t="s">
        <v>29</v>
      </c>
      <c r="E6" s="130"/>
    </row>
    <row r="8" spans="1:5" x14ac:dyDescent="0.25">
      <c r="A8" s="129"/>
    </row>
    <row r="9" spans="1:5" x14ac:dyDescent="0.25">
      <c r="A9" s="129" t="s">
        <v>30</v>
      </c>
      <c r="B9" s="8" t="s">
        <v>31</v>
      </c>
      <c r="C9" s="18" t="s">
        <v>29</v>
      </c>
      <c r="D9" s="18" t="s">
        <v>29</v>
      </c>
    </row>
    <row r="10" spans="1:5" x14ac:dyDescent="0.25">
      <c r="A10" s="129"/>
      <c r="B10" s="8" t="s">
        <v>32</v>
      </c>
      <c r="C10" s="18" t="s">
        <v>29</v>
      </c>
      <c r="D10" s="18" t="s">
        <v>29</v>
      </c>
    </row>
    <row r="11" spans="1:5" x14ac:dyDescent="0.25">
      <c r="A11" s="129"/>
      <c r="B11" s="131" t="s">
        <v>33</v>
      </c>
      <c r="C11" s="18" t="s">
        <v>903</v>
      </c>
      <c r="D11" s="18" t="s">
        <v>903</v>
      </c>
    </row>
    <row r="12" spans="1:5" x14ac:dyDescent="0.25">
      <c r="A12" s="129"/>
      <c r="B12" s="131" t="s">
        <v>35</v>
      </c>
      <c r="C12" s="18" t="s">
        <v>34</v>
      </c>
      <c r="D12" s="18" t="s">
        <v>34</v>
      </c>
    </row>
    <row r="13" spans="1:5" x14ac:dyDescent="0.25">
      <c r="A13" s="129"/>
      <c r="B13" s="131" t="s">
        <v>906</v>
      </c>
      <c r="C13" s="132">
        <v>0.1</v>
      </c>
      <c r="D13" s="132">
        <v>0.1</v>
      </c>
    </row>
    <row r="14" spans="1:5" x14ac:dyDescent="0.25">
      <c r="A14" s="129"/>
      <c r="B14" s="84" t="s">
        <v>36</v>
      </c>
      <c r="C14" s="133" t="s">
        <v>37</v>
      </c>
      <c r="D14" s="133" t="s">
        <v>905</v>
      </c>
    </row>
    <row r="15" spans="1:5" x14ac:dyDescent="0.25">
      <c r="A15" s="129"/>
      <c r="B15" s="8" t="s">
        <v>38</v>
      </c>
      <c r="C15" s="18" t="s">
        <v>39</v>
      </c>
      <c r="D15" s="18" t="s">
        <v>39</v>
      </c>
    </row>
    <row r="16" spans="1:5" x14ac:dyDescent="0.25">
      <c r="A16" s="129"/>
      <c r="B16" s="8" t="s">
        <v>907</v>
      </c>
      <c r="C16" s="18" t="s">
        <v>40</v>
      </c>
      <c r="D16" s="18" t="s">
        <v>40</v>
      </c>
    </row>
    <row r="17" spans="1:9" x14ac:dyDescent="0.25">
      <c r="A17" s="129"/>
      <c r="B17" s="8" t="s">
        <v>908</v>
      </c>
      <c r="C17" s="18" t="s">
        <v>41</v>
      </c>
      <c r="D17" s="18" t="s">
        <v>41</v>
      </c>
    </row>
    <row r="18" spans="1:9" x14ac:dyDescent="0.25">
      <c r="A18" s="129"/>
      <c r="B18" s="8"/>
    </row>
    <row r="19" spans="1:9" x14ac:dyDescent="0.25">
      <c r="A19" s="129" t="s">
        <v>42</v>
      </c>
      <c r="B19" t="s">
        <v>43</v>
      </c>
      <c r="C19" s="85">
        <v>0.5</v>
      </c>
      <c r="D19" s="85">
        <v>0.66669999999999996</v>
      </c>
    </row>
    <row r="20" spans="1:9" x14ac:dyDescent="0.25">
      <c r="A20" s="129"/>
      <c r="B20" t="s">
        <v>44</v>
      </c>
      <c r="C20" s="85">
        <v>0.5</v>
      </c>
      <c r="D20" s="85">
        <v>0.66669999999999996</v>
      </c>
    </row>
    <row r="21" spans="1:9" x14ac:dyDescent="0.25">
      <c r="B21" s="8"/>
    </row>
    <row r="22" spans="1:9" ht="15.75" thickBot="1" x14ac:dyDescent="0.3">
      <c r="D22" s="18" t="s">
        <v>45</v>
      </c>
    </row>
    <row r="23" spans="1:9" s="109" customFormat="1" ht="42" x14ac:dyDescent="0.25">
      <c r="A23" s="86"/>
      <c r="B23" s="87" t="s">
        <v>46</v>
      </c>
      <c r="C23" s="86" t="s">
        <v>47</v>
      </c>
      <c r="D23" s="87" t="s">
        <v>48</v>
      </c>
      <c r="E23" s="87" t="s">
        <v>49</v>
      </c>
      <c r="F23" s="87" t="s">
        <v>50</v>
      </c>
      <c r="G23" s="87" t="s">
        <v>51</v>
      </c>
      <c r="H23" s="87" t="s">
        <v>52</v>
      </c>
      <c r="I23" s="108" t="s">
        <v>53</v>
      </c>
    </row>
    <row r="24" spans="1:9" x14ac:dyDescent="0.25">
      <c r="A24" s="88" t="s">
        <v>54</v>
      </c>
      <c r="B24" s="89" t="s">
        <v>55</v>
      </c>
      <c r="C24" s="90" t="s">
        <v>56</v>
      </c>
      <c r="D24" s="91">
        <v>115615.68842188345</v>
      </c>
      <c r="E24" s="91">
        <v>117788.54608625932</v>
      </c>
      <c r="F24" s="92">
        <v>120119.92611558156</v>
      </c>
      <c r="G24" s="91">
        <v>122841.97685618266</v>
      </c>
      <c r="H24" s="93">
        <v>123639.30436303226</v>
      </c>
      <c r="I24" s="94">
        <f>(H24-D24)/D24</f>
        <v>6.9399024048280702E-2</v>
      </c>
    </row>
    <row r="25" spans="1:9" x14ac:dyDescent="0.25">
      <c r="A25" s="88"/>
      <c r="B25" s="89" t="s">
        <v>57</v>
      </c>
      <c r="C25" s="90" t="s">
        <v>58</v>
      </c>
      <c r="D25" s="91">
        <v>95727.510151096008</v>
      </c>
      <c r="E25" s="91">
        <v>96982.11071496208</v>
      </c>
      <c r="F25" s="92">
        <v>98259.943722257434</v>
      </c>
      <c r="G25" s="91">
        <v>99225.829498442807</v>
      </c>
      <c r="H25" s="93">
        <v>100368.70996592531</v>
      </c>
      <c r="I25" s="94">
        <f t="shared" ref="I25:I42" si="0">(H25-D25)/D25</f>
        <v>4.8483448566704078E-2</v>
      </c>
    </row>
    <row r="26" spans="1:9" x14ac:dyDescent="0.25">
      <c r="A26" s="88"/>
      <c r="B26" s="89" t="s">
        <v>59</v>
      </c>
      <c r="C26" s="90" t="s">
        <v>60</v>
      </c>
      <c r="D26" s="91">
        <v>91720.358074735297</v>
      </c>
      <c r="E26" s="91">
        <v>93457.690007091529</v>
      </c>
      <c r="F26" s="92">
        <v>95405.071109104509</v>
      </c>
      <c r="G26" s="91">
        <v>96538.146012363795</v>
      </c>
      <c r="H26" s="93">
        <v>97627.89306602237</v>
      </c>
      <c r="I26" s="94">
        <f t="shared" si="0"/>
        <v>6.4408110863168611E-2</v>
      </c>
    </row>
    <row r="27" spans="1:9" x14ac:dyDescent="0.25">
      <c r="A27" s="88"/>
      <c r="B27" s="89" t="s">
        <v>61</v>
      </c>
      <c r="C27" s="90" t="s">
        <v>62</v>
      </c>
      <c r="D27" s="91">
        <v>62696.180841512636</v>
      </c>
      <c r="E27" s="91">
        <v>64225.251978138636</v>
      </c>
      <c r="F27" s="92">
        <v>65839.104414769972</v>
      </c>
      <c r="G27" s="91">
        <v>67117.775891176003</v>
      </c>
      <c r="H27" s="93">
        <v>68022.223189749609</v>
      </c>
      <c r="I27" s="94">
        <f t="shared" si="0"/>
        <v>8.4950028482603746E-2</v>
      </c>
    </row>
    <row r="28" spans="1:9" x14ac:dyDescent="0.25">
      <c r="A28" s="88"/>
      <c r="B28" s="89" t="s">
        <v>63</v>
      </c>
      <c r="C28" s="90" t="s">
        <v>64</v>
      </c>
      <c r="D28" s="91">
        <v>63263.800591781786</v>
      </c>
      <c r="E28" s="91">
        <v>64787.456021688071</v>
      </c>
      <c r="F28" s="92">
        <v>66630.504198036811</v>
      </c>
      <c r="G28" s="91">
        <v>68100.866263467033</v>
      </c>
      <c r="H28" s="93">
        <v>68712.566870916795</v>
      </c>
      <c r="I28" s="94">
        <f t="shared" si="0"/>
        <v>8.6127710130693994E-2</v>
      </c>
    </row>
    <row r="29" spans="1:9" x14ac:dyDescent="0.25">
      <c r="A29" s="88"/>
      <c r="B29" s="89" t="s">
        <v>65</v>
      </c>
      <c r="C29" s="90" t="s">
        <v>66</v>
      </c>
      <c r="D29" s="91">
        <v>68139.330528417588</v>
      </c>
      <c r="E29" s="91">
        <v>69544.817489214547</v>
      </c>
      <c r="F29" s="92">
        <v>71843.081046366409</v>
      </c>
      <c r="G29" s="91">
        <v>73020.721936482194</v>
      </c>
      <c r="H29" s="93">
        <v>74063.831282582032</v>
      </c>
      <c r="I29" s="94">
        <f t="shared" si="0"/>
        <v>8.6946858858462428E-2</v>
      </c>
    </row>
    <row r="30" spans="1:9" x14ac:dyDescent="0.25">
      <c r="A30" s="88"/>
      <c r="B30" s="89" t="s">
        <v>67</v>
      </c>
      <c r="C30" s="90" t="s">
        <v>68</v>
      </c>
      <c r="D30" s="91">
        <v>53695.261750433885</v>
      </c>
      <c r="E30" s="91">
        <v>53878.878858999829</v>
      </c>
      <c r="F30" s="92">
        <v>54182.264119320113</v>
      </c>
      <c r="G30" s="91">
        <v>54802.548641975307</v>
      </c>
      <c r="H30" s="93">
        <v>55972.974027932774</v>
      </c>
      <c r="I30" s="94">
        <f t="shared" si="0"/>
        <v>4.241924153541321E-2</v>
      </c>
    </row>
    <row r="31" spans="1:9" x14ac:dyDescent="0.25">
      <c r="A31" s="88"/>
      <c r="B31" s="89" t="s">
        <v>69</v>
      </c>
      <c r="C31" s="90" t="s">
        <v>70</v>
      </c>
      <c r="D31" s="91">
        <v>45387.823772428375</v>
      </c>
      <c r="E31" s="91">
        <v>46317.553931123548</v>
      </c>
      <c r="F31" s="92">
        <v>47637.995801520403</v>
      </c>
      <c r="G31" s="91">
        <v>48306.261724111311</v>
      </c>
      <c r="H31" s="93">
        <v>49696.518920332368</v>
      </c>
      <c r="I31" s="94">
        <f t="shared" si="0"/>
        <v>9.4930639757206961E-2</v>
      </c>
    </row>
    <row r="32" spans="1:9" x14ac:dyDescent="0.25">
      <c r="A32" s="88"/>
      <c r="B32" s="89" t="s">
        <v>71</v>
      </c>
      <c r="C32" s="90" t="s">
        <v>72</v>
      </c>
      <c r="D32" s="91">
        <v>44955.096294267969</v>
      </c>
      <c r="E32" s="91">
        <v>44733.916254876465</v>
      </c>
      <c r="F32" s="92">
        <v>45013.261820235595</v>
      </c>
      <c r="G32" s="91">
        <v>44352.406059084438</v>
      </c>
      <c r="H32" s="95">
        <v>45333.052897225978</v>
      </c>
      <c r="I32" s="94">
        <f t="shared" si="0"/>
        <v>8.4074250555259255E-3</v>
      </c>
    </row>
    <row r="33" spans="1:9" x14ac:dyDescent="0.25">
      <c r="A33" s="88"/>
      <c r="B33" s="89" t="s">
        <v>73</v>
      </c>
      <c r="C33" s="90" t="s">
        <v>74</v>
      </c>
      <c r="D33" s="91">
        <v>32997.897670208637</v>
      </c>
      <c r="E33" s="91">
        <v>33041.667878482149</v>
      </c>
      <c r="F33" s="92">
        <v>33890.372800469544</v>
      </c>
      <c r="G33" s="91">
        <v>34004.641158332161</v>
      </c>
      <c r="H33" s="93">
        <v>34356.241434326796</v>
      </c>
      <c r="I33" s="94">
        <f t="shared" si="0"/>
        <v>4.116455471478437E-2</v>
      </c>
    </row>
    <row r="34" spans="1:9" x14ac:dyDescent="0.25">
      <c r="A34" s="88" t="s">
        <v>75</v>
      </c>
      <c r="B34" s="89" t="s">
        <v>76</v>
      </c>
      <c r="C34" s="90" t="s">
        <v>77</v>
      </c>
      <c r="D34" s="91">
        <v>14265.532887945592</v>
      </c>
      <c r="E34" s="91">
        <v>15995.31</v>
      </c>
      <c r="F34" s="96">
        <v>16395.740000000002</v>
      </c>
      <c r="G34" s="91">
        <v>16930.91</v>
      </c>
      <c r="H34" s="93">
        <v>17152.68</v>
      </c>
      <c r="I34" s="94">
        <f t="shared" si="0"/>
        <v>0.20238620840403757</v>
      </c>
    </row>
    <row r="35" spans="1:9" x14ac:dyDescent="0.25">
      <c r="A35" s="88"/>
      <c r="B35" s="89"/>
      <c r="C35" s="90" t="s">
        <v>78</v>
      </c>
      <c r="D35" s="91">
        <f>D27*0.16</f>
        <v>10031.388934642022</v>
      </c>
      <c r="E35" s="91">
        <f t="shared" ref="E35:H35" si="1">E27*0.16</f>
        <v>10276.040316502182</v>
      </c>
      <c r="F35" s="92">
        <f t="shared" si="1"/>
        <v>10534.256706363196</v>
      </c>
      <c r="G35" s="91">
        <f t="shared" si="1"/>
        <v>10738.844142588161</v>
      </c>
      <c r="H35" s="93">
        <f t="shared" si="1"/>
        <v>10883.555710359939</v>
      </c>
      <c r="I35" s="94">
        <f t="shared" si="0"/>
        <v>8.4950028482603829E-2</v>
      </c>
    </row>
    <row r="36" spans="1:9" x14ac:dyDescent="0.25">
      <c r="A36" s="88" t="s">
        <v>79</v>
      </c>
      <c r="B36" s="89" t="s">
        <v>80</v>
      </c>
      <c r="C36" s="90" t="s">
        <v>81</v>
      </c>
      <c r="D36" s="91">
        <v>42.131996173025648</v>
      </c>
      <c r="E36" s="91">
        <v>44.149548636209438</v>
      </c>
      <c r="F36" s="92">
        <v>44.470179268979678</v>
      </c>
      <c r="G36" s="91">
        <v>41.052309351055165</v>
      </c>
      <c r="H36" s="93">
        <v>48.085688326773592</v>
      </c>
      <c r="I36" s="94">
        <f t="shared" si="0"/>
        <v>0.14131046934727728</v>
      </c>
    </row>
    <row r="37" spans="1:9" x14ac:dyDescent="0.25">
      <c r="A37" s="88"/>
      <c r="B37" s="89" t="s">
        <v>82</v>
      </c>
      <c r="C37" s="90" t="s">
        <v>83</v>
      </c>
      <c r="D37" s="91">
        <v>163.28462572082367</v>
      </c>
      <c r="E37" s="91">
        <v>172.10560508264439</v>
      </c>
      <c r="F37" s="92">
        <v>172.68036592741572</v>
      </c>
      <c r="G37" s="91">
        <v>179.28270043326441</v>
      </c>
      <c r="H37" s="93">
        <v>192.21407165403897</v>
      </c>
      <c r="I37" s="94">
        <f t="shared" si="0"/>
        <v>0.17717189114104046</v>
      </c>
    </row>
    <row r="38" spans="1:9" x14ac:dyDescent="0.25">
      <c r="A38" s="88"/>
      <c r="B38" s="89" t="s">
        <v>84</v>
      </c>
      <c r="C38" s="90" t="s">
        <v>85</v>
      </c>
      <c r="D38" s="91">
        <v>23.286061291850551</v>
      </c>
      <c r="E38" s="91">
        <v>30.694212150768571</v>
      </c>
      <c r="F38" s="92">
        <v>32.302046855422176</v>
      </c>
      <c r="G38" s="91">
        <v>34.410251947188669</v>
      </c>
      <c r="H38" s="93">
        <v>36.198530281198444</v>
      </c>
      <c r="I38" s="94">
        <f t="shared" si="0"/>
        <v>0.55451494469212292</v>
      </c>
    </row>
    <row r="39" spans="1:9" x14ac:dyDescent="0.25">
      <c r="A39" s="88"/>
      <c r="B39" s="89" t="s">
        <v>86</v>
      </c>
      <c r="C39" s="90" t="s">
        <v>87</v>
      </c>
      <c r="D39" s="91">
        <v>220.34927930723566</v>
      </c>
      <c r="E39" s="91">
        <v>227.52040448673918</v>
      </c>
      <c r="F39" s="92">
        <v>222.43808395133951</v>
      </c>
      <c r="G39" s="91">
        <v>231.30791426473414</v>
      </c>
      <c r="H39" s="93">
        <v>243.80646195075474</v>
      </c>
      <c r="I39" s="94">
        <f t="shared" si="0"/>
        <v>0.10645454669634949</v>
      </c>
    </row>
    <row r="40" spans="1:9" x14ac:dyDescent="0.25">
      <c r="A40" s="88"/>
      <c r="B40" s="89"/>
      <c r="C40" s="90" t="s">
        <v>88</v>
      </c>
      <c r="D40" s="91">
        <v>239.36</v>
      </c>
      <c r="E40" s="91">
        <v>268.43081713132773</v>
      </c>
      <c r="F40" s="92">
        <v>267.3750313697264</v>
      </c>
      <c r="G40" s="91">
        <v>274.75723970343381</v>
      </c>
      <c r="H40" s="93">
        <v>278.07</v>
      </c>
      <c r="I40" s="94">
        <f t="shared" si="0"/>
        <v>0.16172292780748654</v>
      </c>
    </row>
    <row r="41" spans="1:9" x14ac:dyDescent="0.25">
      <c r="A41" s="88"/>
      <c r="B41" s="89"/>
      <c r="C41" s="90" t="s">
        <v>89</v>
      </c>
      <c r="D41" s="91">
        <v>4.72</v>
      </c>
      <c r="E41" s="91">
        <v>4.6109789206537553</v>
      </c>
      <c r="F41" s="92">
        <v>4.4987196496354915</v>
      </c>
      <c r="G41" s="91">
        <v>4.4522324877262376</v>
      </c>
      <c r="H41" s="93">
        <v>5.0999999999999996</v>
      </c>
      <c r="I41" s="94">
        <f t="shared" si="0"/>
        <v>8.0508474576271166E-2</v>
      </c>
    </row>
    <row r="42" spans="1:9" ht="15.75" thickBot="1" x14ac:dyDescent="0.3">
      <c r="A42" s="97"/>
      <c r="B42" s="98" t="s">
        <v>90</v>
      </c>
      <c r="C42" s="99" t="s">
        <v>91</v>
      </c>
      <c r="D42" s="100">
        <f>D40*D41</f>
        <v>1129.7791999999999</v>
      </c>
      <c r="E42" s="100">
        <f t="shared" ref="E42:H42" si="2">E40*E41</f>
        <v>1237.7288394464151</v>
      </c>
      <c r="F42" s="101">
        <f t="shared" si="2"/>
        <v>1202.8453074448942</v>
      </c>
      <c r="G42" s="100">
        <f t="shared" si="2"/>
        <v>1223.2831088456132</v>
      </c>
      <c r="H42" s="102">
        <f t="shared" si="2"/>
        <v>1418.1569999999999</v>
      </c>
      <c r="I42" s="103">
        <f t="shared" si="0"/>
        <v>0.25525146860554698</v>
      </c>
    </row>
    <row r="47" spans="1:9" ht="105" x14ac:dyDescent="0.35">
      <c r="A47" s="120" t="s">
        <v>92</v>
      </c>
      <c r="B47" s="110">
        <f>'Summary SFPR_Calc'!AE54</f>
        <v>486592820.32761204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4C34A-2EFC-48F7-893D-7E0AF1DD32CB}">
  <dimension ref="A1:X60"/>
  <sheetViews>
    <sheetView workbookViewId="0">
      <pane xSplit="3" ySplit="4" topLeftCell="I5" activePane="bottomRight" state="frozen"/>
      <selection pane="topRight" activeCell="D1" sqref="D1"/>
      <selection pane="bottomLeft" activeCell="A3" sqref="A3"/>
      <selection pane="bottomRight" activeCell="B20" sqref="B20"/>
    </sheetView>
  </sheetViews>
  <sheetFormatPr defaultRowHeight="15" x14ac:dyDescent="0.25"/>
  <cols>
    <col min="1" max="1" width="7.5703125" bestFit="1" customWidth="1"/>
    <col min="2" max="2" width="46" bestFit="1" customWidth="1"/>
    <col min="3" max="3" width="13.140625" bestFit="1" customWidth="1"/>
    <col min="4" max="4" width="13.85546875" bestFit="1" customWidth="1"/>
    <col min="5" max="5" width="12.7109375" bestFit="1" customWidth="1"/>
    <col min="6" max="6" width="15.5703125" bestFit="1" customWidth="1"/>
    <col min="7" max="7" width="10.140625" customWidth="1"/>
    <col min="8" max="8" width="13.85546875" bestFit="1" customWidth="1"/>
    <col min="9" max="11" width="17.140625" customWidth="1"/>
    <col min="12" max="12" width="13.85546875" bestFit="1" customWidth="1"/>
    <col min="13" max="13" width="11.7109375" bestFit="1" customWidth="1"/>
    <col min="14" max="15" width="13.85546875" bestFit="1" customWidth="1"/>
    <col min="16" max="16" width="13.85546875" customWidth="1"/>
    <col min="17" max="17" width="13.85546875" bestFit="1" customWidth="1"/>
    <col min="18" max="18" width="12.7109375" bestFit="1" customWidth="1"/>
    <col min="19" max="19" width="13.85546875" bestFit="1" customWidth="1"/>
    <col min="20" max="20" width="12.28515625" customWidth="1"/>
    <col min="21" max="21" width="15.5703125" bestFit="1" customWidth="1"/>
    <col min="22" max="22" width="10" customWidth="1"/>
  </cols>
  <sheetData>
    <row r="1" spans="1:24" x14ac:dyDescent="0.25">
      <c r="M1" t="s">
        <v>319</v>
      </c>
      <c r="O1" s="25">
        <v>0.66669999999999996</v>
      </c>
      <c r="X1" s="26"/>
    </row>
    <row r="2" spans="1:24" x14ac:dyDescent="0.25">
      <c r="M2" t="s">
        <v>320</v>
      </c>
      <c r="O2" s="25">
        <v>0.66669999999999996</v>
      </c>
      <c r="X2" s="26"/>
    </row>
    <row r="3" spans="1:24" x14ac:dyDescent="0.25">
      <c r="A3" s="36"/>
      <c r="B3" s="36"/>
      <c r="C3" s="36"/>
      <c r="D3" s="36"/>
      <c r="E3" s="36"/>
      <c r="F3" s="36"/>
      <c r="G3" s="36"/>
      <c r="H3" s="36"/>
      <c r="I3" s="36"/>
      <c r="J3" s="36"/>
      <c r="K3" s="36"/>
      <c r="L3" s="36"/>
      <c r="M3" s="36"/>
      <c r="N3" s="36"/>
      <c r="O3" s="36"/>
      <c r="P3" s="36"/>
      <c r="Q3" s="36"/>
      <c r="R3" s="36"/>
      <c r="S3" s="36"/>
      <c r="T3" s="36"/>
      <c r="U3" s="36"/>
    </row>
    <row r="4" spans="1:24" s="4" customFormat="1" ht="60" x14ac:dyDescent="0.25">
      <c r="A4" s="4" t="s">
        <v>93</v>
      </c>
      <c r="B4" s="3" t="s">
        <v>940</v>
      </c>
      <c r="C4" s="4" t="s">
        <v>95</v>
      </c>
      <c r="D4" s="3" t="s">
        <v>321</v>
      </c>
      <c r="E4" s="3" t="s">
        <v>322</v>
      </c>
      <c r="F4" s="3" t="s">
        <v>323</v>
      </c>
      <c r="G4" s="3" t="s">
        <v>324</v>
      </c>
      <c r="H4" s="3" t="s">
        <v>325</v>
      </c>
      <c r="I4" s="3" t="s">
        <v>326</v>
      </c>
      <c r="J4" s="3" t="s">
        <v>327</v>
      </c>
      <c r="K4" s="3" t="s">
        <v>328</v>
      </c>
      <c r="L4" s="3" t="s">
        <v>329</v>
      </c>
      <c r="M4" s="3" t="s">
        <v>330</v>
      </c>
      <c r="N4" s="3" t="s">
        <v>331</v>
      </c>
      <c r="O4" s="3" t="s">
        <v>332</v>
      </c>
      <c r="P4" s="3" t="s">
        <v>333</v>
      </c>
      <c r="Q4" s="3" t="s">
        <v>334</v>
      </c>
      <c r="R4" s="3" t="s">
        <v>335</v>
      </c>
      <c r="S4" s="3" t="s">
        <v>336</v>
      </c>
      <c r="T4" s="3" t="s">
        <v>337</v>
      </c>
      <c r="U4" s="3" t="s">
        <v>338</v>
      </c>
      <c r="V4" s="3"/>
    </row>
    <row r="5" spans="1:24" x14ac:dyDescent="0.25">
      <c r="A5" t="s">
        <v>101</v>
      </c>
      <c r="B5" t="s">
        <v>102</v>
      </c>
      <c r="C5" t="s">
        <v>202</v>
      </c>
      <c r="D5" s="1">
        <f>VLOOKUP(A5,'State Share Base Cost'!$A$3:$G$52,7,FALSE)</f>
        <v>8526987.9460407216</v>
      </c>
      <c r="E5" s="1">
        <f>VLOOKUP(A5,'Special Edu'!$A$5:$Q$54,17,FALSE)</f>
        <v>1264017.51843603</v>
      </c>
      <c r="F5" s="1">
        <f>VLOOKUP(A5,DPIA!$A$5:$H$54,8,FALSE)</f>
        <v>150745.78</v>
      </c>
      <c r="G5" s="1">
        <f>VLOOKUP(A5,EL!$A$5:$L$54,12,FALSE)</f>
        <v>1112.2863443175322</v>
      </c>
      <c r="H5" s="1">
        <f>VLOOKUP(A5,CTE!$A$5:$R$54,18,FALSE)</f>
        <v>3233422.6996347308</v>
      </c>
      <c r="I5" s="1">
        <f>D5+E5+F5+G5+H5</f>
        <v>13176286.230455799</v>
      </c>
      <c r="J5" s="1">
        <v>5971677.21</v>
      </c>
      <c r="K5" s="1">
        <v>1041899.62</v>
      </c>
      <c r="L5" s="1">
        <f>J5+K5</f>
        <v>7013576.8300000001</v>
      </c>
      <c r="M5" s="1">
        <v>62212.41</v>
      </c>
      <c r="N5" s="1">
        <f>L5-M5</f>
        <v>6951364.4199999999</v>
      </c>
      <c r="O5" s="1">
        <f>(L5+(((I5-F5)-N5)*$O$1)+((F5-M5)*$O$2))</f>
        <v>11122255.187283881</v>
      </c>
      <c r="P5" s="1">
        <f>IF(L5&gt;O5,(L5-O5),0)</f>
        <v>0</v>
      </c>
      <c r="Q5" s="1">
        <v>6172392.9400000004</v>
      </c>
      <c r="R5" s="1">
        <v>1204662.1599999999</v>
      </c>
      <c r="S5" s="1">
        <f>Q5+R5</f>
        <v>7377055.1000000006</v>
      </c>
      <c r="T5" s="1">
        <f>MAX((S5-(O5+P5)),0)</f>
        <v>0</v>
      </c>
      <c r="U5" s="1">
        <f>O5+P5+T5</f>
        <v>11122255.187283881</v>
      </c>
      <c r="V5" s="1"/>
      <c r="W5" s="1"/>
      <c r="X5" s="1"/>
    </row>
    <row r="6" spans="1:24" x14ac:dyDescent="0.25">
      <c r="A6" t="s">
        <v>103</v>
      </c>
      <c r="B6" t="s">
        <v>104</v>
      </c>
      <c r="C6" t="s">
        <v>203</v>
      </c>
      <c r="D6" s="1">
        <f>VLOOKUP(A6,'State Share Base Cost'!$A$3:$G$52,7,FALSE)</f>
        <v>5613427.4039291581</v>
      </c>
      <c r="E6" s="1">
        <f>VLOOKUP(A6,'Special Edu'!$A$5:$Q$54,17,FALSE)</f>
        <v>767285.83554210642</v>
      </c>
      <c r="F6" s="1">
        <f>VLOOKUP(A6,DPIA!$A$5:$H$54,8,FALSE)</f>
        <v>92962.39</v>
      </c>
      <c r="G6" s="1">
        <f>VLOOKUP(A6,EL!$A$5:$L$54,12,FALSE)</f>
        <v>75.449007745672475</v>
      </c>
      <c r="H6" s="1">
        <f>VLOOKUP(A6,CTE!$A$5:$R$54,18,FALSE)</f>
        <v>2015876.3447844617</v>
      </c>
      <c r="I6" s="1">
        <f t="shared" ref="I6:I53" si="0">D6+E6+F6+G6+H6</f>
        <v>8489627.4232634716</v>
      </c>
      <c r="J6" s="1">
        <v>3928409.93</v>
      </c>
      <c r="K6" s="1">
        <v>359032.09</v>
      </c>
      <c r="L6" s="1">
        <f t="shared" ref="L6:L53" si="1">J6+K6</f>
        <v>4287442.0200000005</v>
      </c>
      <c r="M6" s="1">
        <v>48419.48</v>
      </c>
      <c r="N6" s="1">
        <f t="shared" ref="N6:N53" si="2">L6-M6</f>
        <v>4239022.54</v>
      </c>
      <c r="O6" s="1">
        <f t="shared" ref="O6:O53" si="3">(L6+(((I6-F6)-N6)*$O$1)+((F6-M6)*$O$2))</f>
        <v>7089039.0283557568</v>
      </c>
      <c r="P6" s="1">
        <f t="shared" ref="P6:P53" si="4">IF(L6&gt;O6,(L6-O6),0)</f>
        <v>0</v>
      </c>
      <c r="Q6" s="1">
        <v>4124433.31</v>
      </c>
      <c r="R6" s="1">
        <v>404002.56</v>
      </c>
      <c r="S6" s="1">
        <f t="shared" ref="S6:S53" si="5">Q6+R6</f>
        <v>4528435.87</v>
      </c>
      <c r="T6" s="1">
        <f t="shared" ref="T6:T53" si="6">MAX((S6-(O6+P6)),0)</f>
        <v>0</v>
      </c>
      <c r="U6" s="1">
        <f t="shared" ref="U6:U53" si="7">O6+P6+T6</f>
        <v>7089039.0283557568</v>
      </c>
      <c r="V6" s="1"/>
      <c r="W6" s="1"/>
      <c r="X6" s="1"/>
    </row>
    <row r="7" spans="1:24" x14ac:dyDescent="0.25">
      <c r="A7" t="s">
        <v>105</v>
      </c>
      <c r="B7" t="s">
        <v>106</v>
      </c>
      <c r="C7" t="s">
        <v>204</v>
      </c>
      <c r="D7" s="1">
        <f>VLOOKUP(A7,'State Share Base Cost'!$A$3:$G$52,7,FALSE)</f>
        <v>5980248.3428032519</v>
      </c>
      <c r="E7" s="1">
        <f>VLOOKUP(A7,'Special Edu'!$A$5:$Q$54,17,FALSE)</f>
        <v>1379167.99</v>
      </c>
      <c r="F7" s="1">
        <f>VLOOKUP(A7,DPIA!$A$5:$H$54,8,FALSE)</f>
        <v>424701.2</v>
      </c>
      <c r="G7" s="1">
        <f>VLOOKUP(A7,EL!$A$5:$L$54,12,FALSE)</f>
        <v>16.979527228427788</v>
      </c>
      <c r="H7" s="1">
        <f>VLOOKUP(A7,CTE!$A$5:$R$54,18,FALSE)</f>
        <v>2082509.1141263635</v>
      </c>
      <c r="I7" s="1">
        <f t="shared" si="0"/>
        <v>9866643.6264568437</v>
      </c>
      <c r="J7" s="1">
        <v>5258546.49</v>
      </c>
      <c r="K7" s="1">
        <v>45397.89</v>
      </c>
      <c r="L7" s="1">
        <f t="shared" si="1"/>
        <v>5303944.38</v>
      </c>
      <c r="M7" s="1">
        <v>214553.03</v>
      </c>
      <c r="N7" s="1">
        <f t="shared" si="2"/>
        <v>5089391.3499999996</v>
      </c>
      <c r="O7" s="1">
        <f t="shared" si="3"/>
        <v>8345895.9676127788</v>
      </c>
      <c r="P7" s="1">
        <f t="shared" si="4"/>
        <v>0</v>
      </c>
      <c r="Q7" s="1">
        <v>5537658.1699999999</v>
      </c>
      <c r="R7" s="1">
        <v>68487.929999999993</v>
      </c>
      <c r="S7" s="1">
        <f t="shared" si="5"/>
        <v>5606146.0999999996</v>
      </c>
      <c r="T7" s="1">
        <f t="shared" si="6"/>
        <v>0</v>
      </c>
      <c r="U7" s="1">
        <f t="shared" si="7"/>
        <v>8345895.9676127788</v>
      </c>
      <c r="V7" s="1"/>
      <c r="W7" s="1"/>
      <c r="X7" s="1"/>
    </row>
    <row r="8" spans="1:24" x14ac:dyDescent="0.25">
      <c r="A8" t="s">
        <v>107</v>
      </c>
      <c r="B8" t="s">
        <v>108</v>
      </c>
      <c r="C8" t="s">
        <v>205</v>
      </c>
      <c r="D8" s="1">
        <f>VLOOKUP(A8,'State Share Base Cost'!$A$3:$G$52,7,FALSE)</f>
        <v>4027723.0977582023</v>
      </c>
      <c r="E8" s="1">
        <f>VLOOKUP(A8,'Special Edu'!$A$5:$Q$54,17,FALSE)</f>
        <v>692511.72</v>
      </c>
      <c r="F8" s="1">
        <f>VLOOKUP(A8,DPIA!$A$5:$H$54,8,FALSE)</f>
        <v>209661.52</v>
      </c>
      <c r="G8" s="1">
        <f>VLOOKUP(A8,EL!$A$5:$L$54,12,FALSE)</f>
        <v>2184.4301947530957</v>
      </c>
      <c r="H8" s="1">
        <f>VLOOKUP(A8,CTE!$A$5:$R$54,18,FALSE)</f>
        <v>1523607.4266664507</v>
      </c>
      <c r="I8" s="1">
        <f t="shared" si="0"/>
        <v>6455688.194619406</v>
      </c>
      <c r="J8" s="1">
        <v>4317689.0999999996</v>
      </c>
      <c r="K8" s="1">
        <v>243518.55</v>
      </c>
      <c r="L8" s="1">
        <f t="shared" si="1"/>
        <v>4561207.6499999994</v>
      </c>
      <c r="M8" s="1">
        <v>84479.89</v>
      </c>
      <c r="N8" s="1">
        <f t="shared" si="2"/>
        <v>4476727.76</v>
      </c>
      <c r="O8" s="1">
        <f t="shared" si="3"/>
        <v>5824257.829097758</v>
      </c>
      <c r="P8" s="1">
        <f t="shared" si="4"/>
        <v>0</v>
      </c>
      <c r="Q8" s="1">
        <v>4467244.01</v>
      </c>
      <c r="R8" s="1">
        <v>196703.7</v>
      </c>
      <c r="S8" s="1">
        <f t="shared" si="5"/>
        <v>4663947.71</v>
      </c>
      <c r="T8" s="1">
        <f t="shared" si="6"/>
        <v>0</v>
      </c>
      <c r="U8" s="1">
        <f t="shared" si="7"/>
        <v>5824257.829097758</v>
      </c>
      <c r="V8" s="1"/>
      <c r="W8" s="1"/>
      <c r="X8" s="1"/>
    </row>
    <row r="9" spans="1:24" x14ac:dyDescent="0.25">
      <c r="A9" t="s">
        <v>109</v>
      </c>
      <c r="B9" t="s">
        <v>110</v>
      </c>
      <c r="C9" t="s">
        <v>206</v>
      </c>
      <c r="D9" s="1">
        <f>VLOOKUP(A9,'State Share Base Cost'!$A$3:$G$52,7,FALSE)</f>
        <v>29698382.259257521</v>
      </c>
      <c r="E9" s="1">
        <f>VLOOKUP(A9,'Special Edu'!$A$5:$Q$54,17,FALSE)</f>
        <v>3957031.2231639489</v>
      </c>
      <c r="F9" s="1">
        <f>VLOOKUP(A9,DPIA!$A$5:$H$54,8,FALSE)</f>
        <v>920431.5</v>
      </c>
      <c r="G9" s="1">
        <f>VLOOKUP(A9,EL!$A$5:$L$54,12,FALSE)</f>
        <v>159974.74420558446</v>
      </c>
      <c r="H9" s="1">
        <f>VLOOKUP(A9,CTE!$A$5:$R$54,18,FALSE)</f>
        <v>11411926.897918016</v>
      </c>
      <c r="I9" s="1">
        <f t="shared" si="0"/>
        <v>46147746.624545075</v>
      </c>
      <c r="J9" s="1">
        <v>29924880.629999999</v>
      </c>
      <c r="K9" s="1">
        <v>276461.49</v>
      </c>
      <c r="L9" s="1">
        <f t="shared" si="1"/>
        <v>30201342.119999997</v>
      </c>
      <c r="M9" s="1">
        <v>152426.72</v>
      </c>
      <c r="N9" s="1">
        <f t="shared" si="2"/>
        <v>30048915.399999999</v>
      </c>
      <c r="O9" s="1">
        <f t="shared" si="3"/>
        <v>40832810.003180198</v>
      </c>
      <c r="P9" s="1">
        <f t="shared" si="4"/>
        <v>0</v>
      </c>
      <c r="Q9" s="1">
        <v>30582408.379999999</v>
      </c>
      <c r="R9" s="1">
        <v>319751.83</v>
      </c>
      <c r="S9" s="1">
        <f t="shared" si="5"/>
        <v>30902160.209999997</v>
      </c>
      <c r="T9" s="1">
        <f t="shared" si="6"/>
        <v>0</v>
      </c>
      <c r="U9" s="1">
        <f t="shared" si="7"/>
        <v>40832810.003180198</v>
      </c>
      <c r="V9" s="1"/>
      <c r="W9" s="1"/>
      <c r="X9" s="1"/>
    </row>
    <row r="10" spans="1:24" x14ac:dyDescent="0.25">
      <c r="A10" t="s">
        <v>111</v>
      </c>
      <c r="B10" t="s">
        <v>112</v>
      </c>
      <c r="C10" t="s">
        <v>207</v>
      </c>
      <c r="D10" s="1">
        <f>VLOOKUP(A10,'State Share Base Cost'!$A$3:$G$52,7,FALSE)</f>
        <v>3037752.0815844294</v>
      </c>
      <c r="E10" s="1">
        <f>VLOOKUP(A10,'Special Edu'!$A$5:$Q$54,17,FALSE)</f>
        <v>341380.01</v>
      </c>
      <c r="F10" s="1">
        <f>VLOOKUP(A10,DPIA!$A$5:$H$54,8,FALSE)</f>
        <v>79982.100000000006</v>
      </c>
      <c r="G10" s="1">
        <f>VLOOKUP(A10,EL!$A$5:$L$54,12,FALSE)</f>
        <v>0</v>
      </c>
      <c r="H10" s="1">
        <f>VLOOKUP(A10,CTE!$A$5:$R$54,18,FALSE)</f>
        <v>1067599.7956214824</v>
      </c>
      <c r="I10" s="1">
        <f t="shared" si="0"/>
        <v>4526713.9872059114</v>
      </c>
      <c r="J10" s="1">
        <v>3531426.42</v>
      </c>
      <c r="K10" s="1">
        <v>308005.5</v>
      </c>
      <c r="L10" s="1">
        <f t="shared" si="1"/>
        <v>3839431.92</v>
      </c>
      <c r="M10" s="1">
        <v>45052.82</v>
      </c>
      <c r="N10" s="1">
        <f t="shared" si="2"/>
        <v>3794379.1</v>
      </c>
      <c r="O10" s="1">
        <f t="shared" si="3"/>
        <v>4297642.8742061807</v>
      </c>
      <c r="P10" s="1">
        <f t="shared" si="4"/>
        <v>0</v>
      </c>
      <c r="Q10" s="1">
        <v>3647038.42</v>
      </c>
      <c r="R10" s="1">
        <v>408265.46</v>
      </c>
      <c r="S10" s="1">
        <f t="shared" si="5"/>
        <v>4055303.88</v>
      </c>
      <c r="T10" s="1">
        <f t="shared" si="6"/>
        <v>0</v>
      </c>
      <c r="U10" s="1">
        <f t="shared" si="7"/>
        <v>4297642.8742061807</v>
      </c>
      <c r="V10" s="1"/>
      <c r="W10" s="1"/>
      <c r="X10" s="1"/>
    </row>
    <row r="11" spans="1:24" x14ac:dyDescent="0.25">
      <c r="A11" t="s">
        <v>113</v>
      </c>
      <c r="B11" t="s">
        <v>114</v>
      </c>
      <c r="C11" t="s">
        <v>208</v>
      </c>
      <c r="D11" s="1">
        <f>VLOOKUP(A11,'State Share Base Cost'!$A$3:$G$52,7,FALSE)</f>
        <v>1052508.9201880288</v>
      </c>
      <c r="E11" s="1">
        <f>VLOOKUP(A11,'Special Edu'!$A$5:$Q$54,17,FALSE)</f>
        <v>140136.29999999999</v>
      </c>
      <c r="F11" s="1">
        <f>VLOOKUP(A11,DPIA!$A$5:$H$54,8,FALSE)</f>
        <v>42252.39</v>
      </c>
      <c r="G11" s="1">
        <f>VLOOKUP(A11,EL!$A$5:$L$54,12,FALSE)</f>
        <v>725.41082828533717</v>
      </c>
      <c r="H11" s="1">
        <f>VLOOKUP(A11,CTE!$A$5:$R$54,18,FALSE)</f>
        <v>468604.32413855358</v>
      </c>
      <c r="I11" s="1">
        <f t="shared" si="0"/>
        <v>1704227.3451548677</v>
      </c>
      <c r="J11" s="1">
        <v>1664148.53</v>
      </c>
      <c r="K11" s="1">
        <v>0</v>
      </c>
      <c r="L11" s="1">
        <f t="shared" si="1"/>
        <v>1664148.53</v>
      </c>
      <c r="M11" s="1">
        <v>17815.18</v>
      </c>
      <c r="N11" s="1">
        <f t="shared" si="2"/>
        <v>1646333.35</v>
      </c>
      <c r="O11" s="1">
        <f t="shared" si="3"/>
        <v>1690869.0760637503</v>
      </c>
      <c r="P11" s="1">
        <f t="shared" si="4"/>
        <v>0</v>
      </c>
      <c r="Q11" s="1">
        <v>1716595.42</v>
      </c>
      <c r="R11" s="1">
        <v>10503.79</v>
      </c>
      <c r="S11" s="1">
        <f t="shared" si="5"/>
        <v>1727099.21</v>
      </c>
      <c r="T11" s="1">
        <f t="shared" si="6"/>
        <v>36230.133936249651</v>
      </c>
      <c r="U11" s="1">
        <f t="shared" si="7"/>
        <v>1727099.21</v>
      </c>
      <c r="V11" s="1"/>
      <c r="W11" s="1"/>
      <c r="X11" s="1"/>
    </row>
    <row r="12" spans="1:24" x14ac:dyDescent="0.25">
      <c r="A12" t="s">
        <v>115</v>
      </c>
      <c r="B12" t="s">
        <v>116</v>
      </c>
      <c r="C12" t="s">
        <v>208</v>
      </c>
      <c r="D12" s="1">
        <f>VLOOKUP(A12,'State Share Base Cost'!$A$3:$G$52,7,FALSE)</f>
        <v>3775345.3116983511</v>
      </c>
      <c r="E12" s="1">
        <f>VLOOKUP(A12,'Special Edu'!$A$5:$Q$54,17,FALSE)</f>
        <v>661531.97064627451</v>
      </c>
      <c r="F12" s="1">
        <f>VLOOKUP(A12,DPIA!$A$5:$H$54,8,FALSE)</f>
        <v>0</v>
      </c>
      <c r="G12" s="1">
        <f>VLOOKUP(A12,EL!$A$5:$L$54,12,FALSE)</f>
        <v>341.47245588587458</v>
      </c>
      <c r="H12" s="1">
        <f>VLOOKUP(A12,CTE!$A$5:$R$54,18,FALSE)</f>
        <v>1418640.3355977158</v>
      </c>
      <c r="I12" s="1">
        <f t="shared" si="0"/>
        <v>5855859.0903982278</v>
      </c>
      <c r="J12" s="1">
        <v>2719635.99</v>
      </c>
      <c r="K12" s="1">
        <v>0</v>
      </c>
      <c r="L12" s="1">
        <f t="shared" si="1"/>
        <v>2719635.99</v>
      </c>
      <c r="M12" s="1">
        <v>1337.48</v>
      </c>
      <c r="N12" s="1">
        <f t="shared" si="2"/>
        <v>2718298.5100000002</v>
      </c>
      <c r="O12" s="1">
        <f t="shared" si="3"/>
        <v>4810555.9310354982</v>
      </c>
      <c r="P12" s="1">
        <f t="shared" si="4"/>
        <v>0</v>
      </c>
      <c r="Q12" s="1">
        <v>2799215.01</v>
      </c>
      <c r="R12" s="1">
        <v>0</v>
      </c>
      <c r="S12" s="1">
        <f t="shared" si="5"/>
        <v>2799215.01</v>
      </c>
      <c r="T12" s="1">
        <f t="shared" si="6"/>
        <v>0</v>
      </c>
      <c r="U12" s="1">
        <f t="shared" si="7"/>
        <v>4810555.9310354982</v>
      </c>
      <c r="V12" s="1"/>
      <c r="W12" s="1"/>
      <c r="X12" s="1"/>
    </row>
    <row r="13" spans="1:24" x14ac:dyDescent="0.25">
      <c r="A13" t="s">
        <v>117</v>
      </c>
      <c r="B13" t="s">
        <v>118</v>
      </c>
      <c r="C13" t="s">
        <v>209</v>
      </c>
      <c r="D13" s="1">
        <f>VLOOKUP(A13,'State Share Base Cost'!$A$3:$G$52,7,FALSE)</f>
        <v>7597844.8499981668</v>
      </c>
      <c r="E13" s="1">
        <f>VLOOKUP(A13,'Special Edu'!$A$5:$Q$54,17,FALSE)</f>
        <v>1321301.4099999999</v>
      </c>
      <c r="F13" s="1">
        <f>VLOOKUP(A13,DPIA!$A$5:$H$54,8,FALSE)</f>
        <v>225092.12</v>
      </c>
      <c r="G13" s="1">
        <f>VLOOKUP(A13,EL!$A$5:$L$54,12,FALSE)</f>
        <v>6238.0490554346115</v>
      </c>
      <c r="H13" s="1">
        <f>VLOOKUP(A13,CTE!$A$5:$R$54,18,FALSE)</f>
        <v>2935157.0003290828</v>
      </c>
      <c r="I13" s="1">
        <f t="shared" si="0"/>
        <v>12085633.429382684</v>
      </c>
      <c r="J13" s="1">
        <v>7222243.4199999999</v>
      </c>
      <c r="K13" s="1">
        <v>159773.76000000001</v>
      </c>
      <c r="L13" s="1">
        <f t="shared" si="1"/>
        <v>7382017.1799999997</v>
      </c>
      <c r="M13" s="1">
        <v>84583.22</v>
      </c>
      <c r="N13" s="1">
        <f t="shared" si="2"/>
        <v>7297433.96</v>
      </c>
      <c r="O13" s="1">
        <f t="shared" si="3"/>
        <v>10517918.133463437</v>
      </c>
      <c r="P13" s="1">
        <f t="shared" si="4"/>
        <v>0</v>
      </c>
      <c r="Q13" s="1">
        <v>7467613.3600000003</v>
      </c>
      <c r="R13" s="1">
        <v>120015</v>
      </c>
      <c r="S13" s="1">
        <f t="shared" si="5"/>
        <v>7587628.3600000003</v>
      </c>
      <c r="T13" s="1">
        <f t="shared" si="6"/>
        <v>0</v>
      </c>
      <c r="U13" s="1">
        <f t="shared" si="7"/>
        <v>10517918.133463437</v>
      </c>
      <c r="V13" s="1"/>
      <c r="W13" s="1"/>
      <c r="X13" s="1"/>
    </row>
    <row r="14" spans="1:24" x14ac:dyDescent="0.25">
      <c r="A14" t="s">
        <v>119</v>
      </c>
      <c r="B14" t="s">
        <v>120</v>
      </c>
      <c r="C14" t="s">
        <v>210</v>
      </c>
      <c r="D14" s="1">
        <f>VLOOKUP(A14,'State Share Base Cost'!$A$3:$G$52,7,FALSE)</f>
        <v>3752570.9112978438</v>
      </c>
      <c r="E14" s="1">
        <f>VLOOKUP(A14,'Special Edu'!$A$5:$Q$54,17,FALSE)</f>
        <v>754168.76</v>
      </c>
      <c r="F14" s="1">
        <f>VLOOKUP(A14,DPIA!$A$5:$H$54,8,FALSE)</f>
        <v>18226.37</v>
      </c>
      <c r="G14" s="1">
        <f>VLOOKUP(A14,EL!$A$5:$L$54,12,FALSE)</f>
        <v>8721.2831839984465</v>
      </c>
      <c r="H14" s="1">
        <f>VLOOKUP(A14,CTE!$A$5:$R$54,18,FALSE)</f>
        <v>1712766.3432486916</v>
      </c>
      <c r="I14" s="1">
        <f t="shared" si="0"/>
        <v>6246453.6677305335</v>
      </c>
      <c r="J14" s="1">
        <v>2301028.4700000002</v>
      </c>
      <c r="K14" s="1">
        <v>1273163.03</v>
      </c>
      <c r="L14" s="1">
        <f t="shared" si="1"/>
        <v>3574191.5</v>
      </c>
      <c r="M14" s="1">
        <v>5806.77</v>
      </c>
      <c r="N14" s="1">
        <f t="shared" si="2"/>
        <v>3568384.73</v>
      </c>
      <c r="O14" s="1">
        <f t="shared" si="3"/>
        <v>5355788.6872259472</v>
      </c>
      <c r="P14" s="1">
        <f t="shared" si="4"/>
        <v>0</v>
      </c>
      <c r="Q14" s="1">
        <v>2359504.7400000002</v>
      </c>
      <c r="R14" s="1">
        <v>1478961.5</v>
      </c>
      <c r="S14" s="1">
        <f t="shared" si="5"/>
        <v>3838466.24</v>
      </c>
      <c r="T14" s="1">
        <f t="shared" si="6"/>
        <v>0</v>
      </c>
      <c r="U14" s="1">
        <f t="shared" si="7"/>
        <v>5355788.6872259472</v>
      </c>
      <c r="V14" s="1"/>
      <c r="W14" s="1"/>
      <c r="X14" s="1"/>
    </row>
    <row r="15" spans="1:24" x14ac:dyDescent="0.25">
      <c r="A15" t="s">
        <v>121</v>
      </c>
      <c r="B15" t="s">
        <v>122</v>
      </c>
      <c r="C15" t="s">
        <v>211</v>
      </c>
      <c r="D15" s="1">
        <f>VLOOKUP(A15,'State Share Base Cost'!$A$3:$G$52,7,FALSE)</f>
        <v>8602706.9248135276</v>
      </c>
      <c r="E15" s="1">
        <f>VLOOKUP(A15,'Special Edu'!$A$5:$Q$54,17,FALSE)</f>
        <v>1200763.1725091047</v>
      </c>
      <c r="F15" s="1">
        <f>VLOOKUP(A15,DPIA!$A$5:$H$54,8,FALSE)</f>
        <v>203036.86</v>
      </c>
      <c r="G15" s="1">
        <f>VLOOKUP(A15,EL!$A$5:$L$54,12,FALSE)</f>
        <v>35714.772637274167</v>
      </c>
      <c r="H15" s="1">
        <f>VLOOKUP(A15,CTE!$A$5:$R$54,18,FALSE)</f>
        <v>3122991.7980680587</v>
      </c>
      <c r="I15" s="1">
        <f t="shared" si="0"/>
        <v>13165213.528027963</v>
      </c>
      <c r="J15" s="1">
        <v>4829191.1399999997</v>
      </c>
      <c r="K15" s="1">
        <v>521489.42</v>
      </c>
      <c r="L15" s="1">
        <f t="shared" si="1"/>
        <v>5350680.5599999996</v>
      </c>
      <c r="M15" s="1">
        <v>3009.49</v>
      </c>
      <c r="N15" s="1">
        <f t="shared" si="2"/>
        <v>5347671.0699999994</v>
      </c>
      <c r="O15" s="1">
        <f t="shared" si="3"/>
        <v>10560629.689784244</v>
      </c>
      <c r="P15" s="1">
        <f t="shared" si="4"/>
        <v>0</v>
      </c>
      <c r="Q15" s="1">
        <v>5116943.8899999997</v>
      </c>
      <c r="R15" s="1">
        <v>392690.89</v>
      </c>
      <c r="S15" s="1">
        <f t="shared" si="5"/>
        <v>5509634.7799999993</v>
      </c>
      <c r="T15" s="1">
        <f t="shared" si="6"/>
        <v>0</v>
      </c>
      <c r="U15" s="1">
        <f t="shared" si="7"/>
        <v>10560629.689784244</v>
      </c>
      <c r="V15" s="1"/>
      <c r="W15" s="1"/>
      <c r="X15" s="1"/>
    </row>
    <row r="16" spans="1:24" x14ac:dyDescent="0.25">
      <c r="A16" t="s">
        <v>123</v>
      </c>
      <c r="B16" t="s">
        <v>124</v>
      </c>
      <c r="C16" t="s">
        <v>212</v>
      </c>
      <c r="D16" s="1">
        <f>VLOOKUP(A16,'State Share Base Cost'!$A$3:$G$52,7,FALSE)</f>
        <v>5954799.3095878828</v>
      </c>
      <c r="E16" s="1">
        <f>VLOOKUP(A16,'Special Edu'!$A$5:$Q$54,17,FALSE)</f>
        <v>959398.28</v>
      </c>
      <c r="F16" s="1">
        <f>VLOOKUP(A16,DPIA!$A$5:$H$54,8,FALSE)</f>
        <v>225497.96</v>
      </c>
      <c r="G16" s="1">
        <f>VLOOKUP(A16,EL!$A$5:$L$54,12,FALSE)</f>
        <v>3345.1336734595766</v>
      </c>
      <c r="H16" s="1">
        <f>VLOOKUP(A16,CTE!$A$5:$R$54,18,FALSE)</f>
        <v>2148043.5881247479</v>
      </c>
      <c r="I16" s="1">
        <f t="shared" si="0"/>
        <v>9291084.2713860907</v>
      </c>
      <c r="J16" s="1">
        <v>5194542.9000000004</v>
      </c>
      <c r="K16" s="1">
        <v>476065.26</v>
      </c>
      <c r="L16" s="1">
        <f t="shared" si="1"/>
        <v>5670608.1600000001</v>
      </c>
      <c r="M16" s="1">
        <v>76928.539999999994</v>
      </c>
      <c r="N16" s="1">
        <f t="shared" si="2"/>
        <v>5593679.6200000001</v>
      </c>
      <c r="O16" s="1">
        <f t="shared" si="3"/>
        <v>8084379.5834611058</v>
      </c>
      <c r="P16" s="1">
        <f t="shared" si="4"/>
        <v>0</v>
      </c>
      <c r="Q16" s="1">
        <v>5392868.0599999996</v>
      </c>
      <c r="R16" s="1">
        <v>409009.65</v>
      </c>
      <c r="S16" s="1">
        <f t="shared" si="5"/>
        <v>5801877.71</v>
      </c>
      <c r="T16" s="1">
        <f t="shared" si="6"/>
        <v>0</v>
      </c>
      <c r="U16" s="1">
        <f t="shared" si="7"/>
        <v>8084379.5834611058</v>
      </c>
      <c r="V16" s="1"/>
      <c r="W16" s="1"/>
      <c r="X16" s="1"/>
    </row>
    <row r="17" spans="1:24" x14ac:dyDescent="0.25">
      <c r="A17" t="s">
        <v>125</v>
      </c>
      <c r="B17" t="s">
        <v>126</v>
      </c>
      <c r="C17" t="s">
        <v>213</v>
      </c>
      <c r="D17" s="1">
        <f>VLOOKUP(A17,'State Share Base Cost'!$A$3:$G$52,7,FALSE)</f>
        <v>9143459.9089161903</v>
      </c>
      <c r="E17" s="1">
        <f>VLOOKUP(A17,'Special Edu'!$A$5:$Q$54,17,FALSE)</f>
        <v>1659191.6922374205</v>
      </c>
      <c r="F17" s="1">
        <f>VLOOKUP(A17,DPIA!$A$5:$H$54,8,FALSE)</f>
        <v>63190.8</v>
      </c>
      <c r="G17" s="1">
        <f>VLOOKUP(A17,EL!$A$5:$L$54,12,FALSE)</f>
        <v>3772.9942657994902</v>
      </c>
      <c r="H17" s="1">
        <f>VLOOKUP(A17,CTE!$A$5:$R$54,18,FALSE)</f>
        <v>3514429.7163241585</v>
      </c>
      <c r="I17" s="1">
        <f t="shared" si="0"/>
        <v>14384045.111743569</v>
      </c>
      <c r="J17" s="1">
        <v>5334285.63</v>
      </c>
      <c r="K17" s="1">
        <v>300500.76</v>
      </c>
      <c r="L17" s="1">
        <f t="shared" si="1"/>
        <v>5634786.3899999997</v>
      </c>
      <c r="M17" s="1">
        <v>31630.39</v>
      </c>
      <c r="N17" s="1">
        <f t="shared" si="2"/>
        <v>5603156</v>
      </c>
      <c r="O17" s="1">
        <f t="shared" si="3"/>
        <v>11467917.179786438</v>
      </c>
      <c r="P17" s="1">
        <f t="shared" si="4"/>
        <v>0</v>
      </c>
      <c r="Q17" s="1">
        <v>5554746.04</v>
      </c>
      <c r="R17" s="1">
        <v>224663.09</v>
      </c>
      <c r="S17" s="1">
        <f t="shared" si="5"/>
        <v>5779409.1299999999</v>
      </c>
      <c r="T17" s="1">
        <f t="shared" si="6"/>
        <v>0</v>
      </c>
      <c r="U17" s="1">
        <f t="shared" si="7"/>
        <v>11467917.179786438</v>
      </c>
      <c r="V17" s="1"/>
      <c r="W17" s="1"/>
      <c r="X17" s="1"/>
    </row>
    <row r="18" spans="1:24" x14ac:dyDescent="0.25">
      <c r="A18" t="s">
        <v>127</v>
      </c>
      <c r="B18" t="s">
        <v>128</v>
      </c>
      <c r="C18" t="s">
        <v>214</v>
      </c>
      <c r="D18" s="1">
        <f>VLOOKUP(A18,'State Share Base Cost'!$A$3:$G$52,7,FALSE)</f>
        <v>29786138.437794179</v>
      </c>
      <c r="E18" s="1">
        <f>VLOOKUP(A18,'Special Edu'!$A$5:$Q$54,17,FALSE)</f>
        <v>3747803.8603166216</v>
      </c>
      <c r="F18" s="1">
        <f>VLOOKUP(A18,DPIA!$A$5:$H$54,8,FALSE)</f>
        <v>782254.73</v>
      </c>
      <c r="G18" s="1">
        <f>VLOOKUP(A18,EL!$A$5:$L$54,12,FALSE)</f>
        <v>37397.696222748607</v>
      </c>
      <c r="H18" s="1">
        <f>VLOOKUP(A18,CTE!$A$5:$R$54,18,FALSE)</f>
        <v>11854910.79480066</v>
      </c>
      <c r="I18" s="1">
        <f t="shared" si="0"/>
        <v>46208505.519134216</v>
      </c>
      <c r="J18" s="1">
        <v>18595900.260000002</v>
      </c>
      <c r="K18" s="1">
        <v>789326.57</v>
      </c>
      <c r="L18" s="1">
        <f t="shared" si="1"/>
        <v>19385226.830000002</v>
      </c>
      <c r="M18" s="1">
        <v>257397.67</v>
      </c>
      <c r="N18" s="1">
        <f t="shared" si="2"/>
        <v>19127829.16</v>
      </c>
      <c r="O18" s="1">
        <f t="shared" si="3"/>
        <v>37268306.732045785</v>
      </c>
      <c r="P18" s="1">
        <f t="shared" si="4"/>
        <v>0</v>
      </c>
      <c r="Q18" s="1">
        <v>19445707.649999999</v>
      </c>
      <c r="R18" s="1">
        <v>835062.06</v>
      </c>
      <c r="S18" s="1">
        <f t="shared" si="5"/>
        <v>20280769.709999997</v>
      </c>
      <c r="T18" s="1">
        <f t="shared" si="6"/>
        <v>0</v>
      </c>
      <c r="U18" s="1">
        <f t="shared" si="7"/>
        <v>37268306.732045785</v>
      </c>
      <c r="V18" s="1"/>
      <c r="W18" s="1"/>
      <c r="X18" s="1"/>
    </row>
    <row r="19" spans="1:24" x14ac:dyDescent="0.25">
      <c r="A19" t="s">
        <v>129</v>
      </c>
      <c r="B19" t="s">
        <v>130</v>
      </c>
      <c r="C19" t="s">
        <v>215</v>
      </c>
      <c r="D19" s="1">
        <f>VLOOKUP(A19,'State Share Base Cost'!$A$3:$G$52,7,FALSE)</f>
        <v>3268021.9803448077</v>
      </c>
      <c r="E19" s="1">
        <f>VLOOKUP(A19,'Special Edu'!$A$5:$Q$54,17,FALSE)</f>
        <v>644559.35999999999</v>
      </c>
      <c r="F19" s="1">
        <f>VLOOKUP(A19,DPIA!$A$5:$H$54,8,FALSE)</f>
        <v>197137.74</v>
      </c>
      <c r="G19" s="1">
        <f>VLOOKUP(A19,EL!$A$5:$L$54,12,FALSE)</f>
        <v>0</v>
      </c>
      <c r="H19" s="1">
        <f>VLOOKUP(A19,CTE!$A$5:$R$54,18,FALSE)</f>
        <v>1005574.1848022267</v>
      </c>
      <c r="I19" s="1">
        <f t="shared" si="0"/>
        <v>5115293.2651470341</v>
      </c>
      <c r="J19" s="1">
        <v>2531204.58</v>
      </c>
      <c r="K19" s="1">
        <v>197911.13</v>
      </c>
      <c r="L19" s="1">
        <f t="shared" si="1"/>
        <v>2729115.71</v>
      </c>
      <c r="M19" s="1">
        <v>107731.42</v>
      </c>
      <c r="N19" s="1">
        <f t="shared" si="2"/>
        <v>2621384.29</v>
      </c>
      <c r="O19" s="1">
        <f t="shared" si="3"/>
        <v>4319980.2860165276</v>
      </c>
      <c r="P19" s="1">
        <f t="shared" si="4"/>
        <v>0</v>
      </c>
      <c r="Q19" s="1">
        <v>2655208.65</v>
      </c>
      <c r="R19" s="1">
        <v>192596.15</v>
      </c>
      <c r="S19" s="1">
        <f t="shared" si="5"/>
        <v>2847804.8</v>
      </c>
      <c r="T19" s="1">
        <f t="shared" si="6"/>
        <v>0</v>
      </c>
      <c r="U19" s="1">
        <f t="shared" si="7"/>
        <v>4319980.2860165276</v>
      </c>
      <c r="V19" s="1"/>
      <c r="W19" s="1"/>
      <c r="X19" s="1"/>
    </row>
    <row r="20" spans="1:24" x14ac:dyDescent="0.25">
      <c r="A20" t="s">
        <v>131</v>
      </c>
      <c r="B20" t="s">
        <v>132</v>
      </c>
      <c r="C20" t="s">
        <v>216</v>
      </c>
      <c r="D20" s="1">
        <f>VLOOKUP(A20,'State Share Base Cost'!$A$3:$G$52,7,FALSE)</f>
        <v>5093749.6641289536</v>
      </c>
      <c r="E20" s="1">
        <f>VLOOKUP(A20,'Special Edu'!$A$5:$Q$54,17,FALSE)</f>
        <v>693512.15</v>
      </c>
      <c r="F20" s="1">
        <f>VLOOKUP(A20,DPIA!$A$5:$H$54,8,FALSE)</f>
        <v>74128.679999999993</v>
      </c>
      <c r="G20" s="1">
        <f>VLOOKUP(A20,EL!$A$5:$L$54,12,FALSE)</f>
        <v>3064.0421600816544</v>
      </c>
      <c r="H20" s="1">
        <f>VLOOKUP(A20,CTE!$A$5:$R$54,18,FALSE)</f>
        <v>1808092.2811445976</v>
      </c>
      <c r="I20" s="1">
        <f t="shared" si="0"/>
        <v>7672546.8174336329</v>
      </c>
      <c r="J20" s="1">
        <v>4895251.9800000004</v>
      </c>
      <c r="K20" s="1">
        <v>289532.09000000003</v>
      </c>
      <c r="L20" s="1">
        <f t="shared" si="1"/>
        <v>5184784.07</v>
      </c>
      <c r="M20" s="1">
        <v>79569.03</v>
      </c>
      <c r="N20" s="1">
        <f t="shared" si="2"/>
        <v>5105215.04</v>
      </c>
      <c r="O20" s="1">
        <f t="shared" si="3"/>
        <v>6843375.4937140029</v>
      </c>
      <c r="P20" s="1">
        <f t="shared" si="4"/>
        <v>0</v>
      </c>
      <c r="Q20" s="1">
        <v>5075311.6100000003</v>
      </c>
      <c r="R20" s="1">
        <v>201491.9</v>
      </c>
      <c r="S20" s="1">
        <f t="shared" si="5"/>
        <v>5276803.5100000007</v>
      </c>
      <c r="T20" s="1">
        <f t="shared" si="6"/>
        <v>0</v>
      </c>
      <c r="U20" s="1">
        <f t="shared" si="7"/>
        <v>6843375.4937140029</v>
      </c>
      <c r="V20" s="1"/>
      <c r="W20" s="1"/>
      <c r="X20" s="1"/>
    </row>
    <row r="21" spans="1:24" x14ac:dyDescent="0.25">
      <c r="A21" t="s">
        <v>133</v>
      </c>
      <c r="B21" t="s">
        <v>134</v>
      </c>
      <c r="C21" t="s">
        <v>217</v>
      </c>
      <c r="D21" s="1">
        <f>VLOOKUP(A21,'State Share Base Cost'!$A$3:$G$52,7,FALSE)</f>
        <v>2156841.1761770407</v>
      </c>
      <c r="E21" s="1">
        <f>VLOOKUP(A21,'Special Edu'!$A$5:$Q$54,17,FALSE)</f>
        <v>224066.36199500519</v>
      </c>
      <c r="F21" s="1">
        <f>VLOOKUP(A21,DPIA!$A$5:$H$54,8,FALSE)</f>
        <v>7887.22</v>
      </c>
      <c r="G21" s="1">
        <f>VLOOKUP(A21,EL!$A$5:$L$54,12,FALSE)</f>
        <v>189.42847510901888</v>
      </c>
      <c r="H21" s="1">
        <f>VLOOKUP(A21,CTE!$A$5:$R$54,18,FALSE)</f>
        <v>1152474.8150058172</v>
      </c>
      <c r="I21" s="1">
        <f t="shared" si="0"/>
        <v>3541459.0016529718</v>
      </c>
      <c r="J21" s="1">
        <v>1776051.87</v>
      </c>
      <c r="K21" s="1">
        <v>95817.72</v>
      </c>
      <c r="L21" s="1">
        <f t="shared" si="1"/>
        <v>1871869.59</v>
      </c>
      <c r="M21" s="1">
        <v>10882.32</v>
      </c>
      <c r="N21" s="1">
        <f t="shared" si="2"/>
        <v>1860987.27</v>
      </c>
      <c r="O21" s="1">
        <f t="shared" si="3"/>
        <v>2984984.8507490363</v>
      </c>
      <c r="P21" s="1">
        <f t="shared" si="4"/>
        <v>0</v>
      </c>
      <c r="Q21" s="1">
        <v>1844710.55</v>
      </c>
      <c r="R21" s="1">
        <v>102331.36</v>
      </c>
      <c r="S21" s="1">
        <f t="shared" si="5"/>
        <v>1947041.9100000001</v>
      </c>
      <c r="T21" s="1">
        <f t="shared" si="6"/>
        <v>0</v>
      </c>
      <c r="U21" s="1">
        <f t="shared" si="7"/>
        <v>2984984.8507490363</v>
      </c>
      <c r="V21" s="1"/>
      <c r="W21" s="1"/>
      <c r="X21" s="1"/>
    </row>
    <row r="22" spans="1:24" x14ac:dyDescent="0.25">
      <c r="A22" t="s">
        <v>135</v>
      </c>
      <c r="B22" t="s">
        <v>136</v>
      </c>
      <c r="C22" t="s">
        <v>218</v>
      </c>
      <c r="D22" s="1">
        <f>VLOOKUP(A22,'State Share Base Cost'!$A$3:$G$52,7,FALSE)</f>
        <v>6729191.8234039992</v>
      </c>
      <c r="E22" s="1">
        <f>VLOOKUP(A22,'Special Edu'!$A$5:$Q$54,17,FALSE)</f>
        <v>1116166.5523157604</v>
      </c>
      <c r="F22" s="1">
        <f>VLOOKUP(A22,DPIA!$A$5:$H$54,8,FALSE)</f>
        <v>450532.91</v>
      </c>
      <c r="G22" s="1">
        <f>VLOOKUP(A22,EL!$A$5:$L$54,12,FALSE)</f>
        <v>0</v>
      </c>
      <c r="H22" s="1">
        <f>VLOOKUP(A22,CTE!$A$5:$R$54,18,FALSE)</f>
        <v>2905216.201240561</v>
      </c>
      <c r="I22" s="1">
        <f t="shared" si="0"/>
        <v>11201107.486960322</v>
      </c>
      <c r="J22" s="1">
        <v>5757093.1299999999</v>
      </c>
      <c r="K22" s="1">
        <v>52886.83</v>
      </c>
      <c r="L22" s="1">
        <f t="shared" si="1"/>
        <v>5809979.96</v>
      </c>
      <c r="M22" s="1">
        <v>851748.02</v>
      </c>
      <c r="N22" s="1">
        <f t="shared" si="2"/>
        <v>4958231.9399999995</v>
      </c>
      <c r="O22" s="1">
        <f t="shared" si="3"/>
        <v>9404244.6822244469</v>
      </c>
      <c r="P22" s="1">
        <f t="shared" si="4"/>
        <v>0</v>
      </c>
      <c r="Q22" s="1">
        <v>6015007.79</v>
      </c>
      <c r="R22" s="1">
        <v>63462.8</v>
      </c>
      <c r="S22" s="1">
        <f t="shared" si="5"/>
        <v>6078470.5899999999</v>
      </c>
      <c r="T22" s="1">
        <f t="shared" si="6"/>
        <v>0</v>
      </c>
      <c r="U22" s="1">
        <f t="shared" si="7"/>
        <v>9404244.6822244469</v>
      </c>
      <c r="V22" s="1"/>
      <c r="W22" s="1"/>
      <c r="X22" s="1"/>
    </row>
    <row r="23" spans="1:24" x14ac:dyDescent="0.25">
      <c r="A23" t="s">
        <v>137</v>
      </c>
      <c r="B23" t="s">
        <v>138</v>
      </c>
      <c r="C23" t="s">
        <v>219</v>
      </c>
      <c r="D23" s="1">
        <f>VLOOKUP(A23,'State Share Base Cost'!$A$3:$G$52,7,FALSE)</f>
        <v>6819777.7882443666</v>
      </c>
      <c r="E23" s="1">
        <f>VLOOKUP(A23,'Special Edu'!$A$5:$Q$54,17,FALSE)</f>
        <v>1089092.22</v>
      </c>
      <c r="F23" s="1">
        <f>VLOOKUP(A23,DPIA!$A$5:$H$54,8,FALSE)</f>
        <v>118686.08</v>
      </c>
      <c r="G23" s="1">
        <f>VLOOKUP(A23,EL!$A$5:$L$54,12,FALSE)</f>
        <v>13021.330698037376</v>
      </c>
      <c r="H23" s="1">
        <f>VLOOKUP(A23,CTE!$A$5:$R$54,18,FALSE)</f>
        <v>2496784.069071373</v>
      </c>
      <c r="I23" s="1">
        <f t="shared" si="0"/>
        <v>10537361.488013778</v>
      </c>
      <c r="J23" s="1">
        <v>4954042.3899999997</v>
      </c>
      <c r="K23" s="1">
        <v>184741.31</v>
      </c>
      <c r="L23" s="1">
        <f t="shared" si="1"/>
        <v>5138783.6999999993</v>
      </c>
      <c r="M23" s="1">
        <v>26442.99</v>
      </c>
      <c r="N23" s="1">
        <f t="shared" si="2"/>
        <v>5112340.709999999</v>
      </c>
      <c r="O23" s="1">
        <f t="shared" si="3"/>
        <v>8738015.5112687852</v>
      </c>
      <c r="P23" s="1">
        <f t="shared" si="4"/>
        <v>0</v>
      </c>
      <c r="Q23" s="1">
        <v>5160600.53</v>
      </c>
      <c r="R23" s="1">
        <v>196135.44</v>
      </c>
      <c r="S23" s="1">
        <f t="shared" si="5"/>
        <v>5356735.9700000007</v>
      </c>
      <c r="T23" s="1">
        <f t="shared" si="6"/>
        <v>0</v>
      </c>
      <c r="U23" s="1">
        <f t="shared" si="7"/>
        <v>8738015.5112687852</v>
      </c>
      <c r="V23" s="1"/>
      <c r="W23" s="1"/>
      <c r="X23" s="1"/>
    </row>
    <row r="24" spans="1:24" x14ac:dyDescent="0.25">
      <c r="A24" t="s">
        <v>139</v>
      </c>
      <c r="B24" t="s">
        <v>140</v>
      </c>
      <c r="C24" t="s">
        <v>220</v>
      </c>
      <c r="D24" s="1">
        <f>VLOOKUP(A24,'State Share Base Cost'!$A$3:$G$52,7,FALSE)</f>
        <v>8768325.6396337114</v>
      </c>
      <c r="E24" s="1">
        <f>VLOOKUP(A24,'Special Edu'!$A$5:$Q$54,17,FALSE)</f>
        <v>1427558.8289954967</v>
      </c>
      <c r="F24" s="1">
        <f>VLOOKUP(A24,DPIA!$A$5:$H$54,8,FALSE)</f>
        <v>262700.34999999998</v>
      </c>
      <c r="G24" s="1">
        <f>VLOOKUP(A24,EL!$A$5:$L$54,12,FALSE)</f>
        <v>2667.9499251814659</v>
      </c>
      <c r="H24" s="1">
        <f>VLOOKUP(A24,CTE!$A$5:$R$54,18,FALSE)</f>
        <v>2674844.8781924807</v>
      </c>
      <c r="I24" s="1">
        <f t="shared" si="0"/>
        <v>13136097.64674687</v>
      </c>
      <c r="J24" s="1">
        <v>6384634.3899999997</v>
      </c>
      <c r="K24" s="1">
        <v>472966.12</v>
      </c>
      <c r="L24" s="1">
        <f t="shared" si="1"/>
        <v>6857600.5099999998</v>
      </c>
      <c r="M24" s="1">
        <v>68422.75</v>
      </c>
      <c r="N24" s="1">
        <f t="shared" si="2"/>
        <v>6789177.7599999998</v>
      </c>
      <c r="O24" s="1">
        <f t="shared" si="3"/>
        <v>11043474.551069139</v>
      </c>
      <c r="P24" s="1">
        <f t="shared" si="4"/>
        <v>0</v>
      </c>
      <c r="Q24" s="1">
        <v>6587862.6200000001</v>
      </c>
      <c r="R24" s="1">
        <v>421173.48</v>
      </c>
      <c r="S24" s="1">
        <f t="shared" si="5"/>
        <v>7009036.0999999996</v>
      </c>
      <c r="T24" s="1">
        <f t="shared" si="6"/>
        <v>0</v>
      </c>
      <c r="U24" s="1">
        <f t="shared" si="7"/>
        <v>11043474.551069139</v>
      </c>
      <c r="V24" s="1"/>
      <c r="W24" s="1"/>
      <c r="X24" s="1"/>
    </row>
    <row r="25" spans="1:24" x14ac:dyDescent="0.25">
      <c r="A25" t="s">
        <v>141</v>
      </c>
      <c r="B25" t="s">
        <v>142</v>
      </c>
      <c r="C25" t="s">
        <v>221</v>
      </c>
      <c r="D25" s="1">
        <f>VLOOKUP(A25,'State Share Base Cost'!$A$3:$G$52,7,FALSE)</f>
        <v>5351431.6912080152</v>
      </c>
      <c r="E25" s="1">
        <f>VLOOKUP(A25,'Special Edu'!$A$5:$Q$54,17,FALSE)</f>
        <v>1003741.4276324888</v>
      </c>
      <c r="F25" s="1">
        <f>VLOOKUP(A25,DPIA!$A$5:$H$54,8,FALSE)</f>
        <v>347784.68</v>
      </c>
      <c r="G25" s="1">
        <f>VLOOKUP(A25,EL!$A$5:$L$54,12,FALSE)</f>
        <v>4546.7226819522584</v>
      </c>
      <c r="H25" s="1">
        <f>VLOOKUP(A25,CTE!$A$5:$R$54,18,FALSE)</f>
        <v>2083512.3131335378</v>
      </c>
      <c r="I25" s="1">
        <f t="shared" si="0"/>
        <v>8791016.8346559945</v>
      </c>
      <c r="J25" s="1">
        <v>3803713.39</v>
      </c>
      <c r="K25" s="1">
        <v>663280.01</v>
      </c>
      <c r="L25" s="1">
        <f t="shared" si="1"/>
        <v>4466993.4000000004</v>
      </c>
      <c r="M25" s="1">
        <v>142577.44</v>
      </c>
      <c r="N25" s="1">
        <f t="shared" si="2"/>
        <v>4324415.96</v>
      </c>
      <c r="O25" s="1">
        <f t="shared" si="3"/>
        <v>7349819.8238851521</v>
      </c>
      <c r="P25" s="1">
        <f t="shared" si="4"/>
        <v>0</v>
      </c>
      <c r="Q25" s="1">
        <v>4001286.22</v>
      </c>
      <c r="R25" s="1">
        <v>563036.93000000005</v>
      </c>
      <c r="S25" s="1">
        <f t="shared" si="5"/>
        <v>4564323.1500000004</v>
      </c>
      <c r="T25" s="1">
        <f t="shared" si="6"/>
        <v>0</v>
      </c>
      <c r="U25" s="1">
        <f t="shared" si="7"/>
        <v>7349819.8238851521</v>
      </c>
      <c r="V25" s="1"/>
      <c r="W25" s="1"/>
      <c r="X25" s="1"/>
    </row>
    <row r="26" spans="1:24" x14ac:dyDescent="0.25">
      <c r="A26" t="s">
        <v>143</v>
      </c>
      <c r="B26" t="s">
        <v>144</v>
      </c>
      <c r="C26" t="s">
        <v>222</v>
      </c>
      <c r="D26" s="1">
        <f>VLOOKUP(A26,'State Share Base Cost'!$A$3:$G$52,7,FALSE)</f>
        <v>16104593.517636521</v>
      </c>
      <c r="E26" s="1">
        <f>VLOOKUP(A26,'Special Edu'!$A$5:$Q$54,17,FALSE)</f>
        <v>1991478.0358670927</v>
      </c>
      <c r="F26" s="1">
        <f>VLOOKUP(A26,DPIA!$A$5:$H$54,8,FALSE)</f>
        <v>205292.51</v>
      </c>
      <c r="G26" s="1">
        <f>VLOOKUP(A26,EL!$A$5:$L$54,12,FALSE)</f>
        <v>4777.9664633708289</v>
      </c>
      <c r="H26" s="1">
        <f>VLOOKUP(A26,CTE!$A$5:$R$54,18,FALSE)</f>
        <v>6479539.2695099013</v>
      </c>
      <c r="I26" s="1">
        <f t="shared" si="0"/>
        <v>24785681.299476888</v>
      </c>
      <c r="J26" s="1">
        <v>14505287.390000001</v>
      </c>
      <c r="K26" s="1">
        <v>818839.55</v>
      </c>
      <c r="L26" s="1">
        <f t="shared" si="1"/>
        <v>15324126.940000001</v>
      </c>
      <c r="M26" s="1">
        <v>73061.25</v>
      </c>
      <c r="N26" s="1">
        <f t="shared" si="2"/>
        <v>15251065.690000001</v>
      </c>
      <c r="O26" s="1">
        <f t="shared" si="3"/>
        <v>21632145.231463239</v>
      </c>
      <c r="P26" s="1">
        <f t="shared" si="4"/>
        <v>0</v>
      </c>
      <c r="Q26" s="1">
        <v>14986259.23</v>
      </c>
      <c r="R26" s="1">
        <v>749115.88</v>
      </c>
      <c r="S26" s="1">
        <f t="shared" si="5"/>
        <v>15735375.110000001</v>
      </c>
      <c r="T26" s="1">
        <f t="shared" si="6"/>
        <v>0</v>
      </c>
      <c r="U26" s="1">
        <f t="shared" si="7"/>
        <v>21632145.231463239</v>
      </c>
      <c r="V26" s="1"/>
      <c r="W26" s="1"/>
      <c r="X26" s="1"/>
    </row>
    <row r="27" spans="1:24" x14ac:dyDescent="0.25">
      <c r="A27" t="s">
        <v>145</v>
      </c>
      <c r="B27" t="s">
        <v>146</v>
      </c>
      <c r="C27" t="s">
        <v>223</v>
      </c>
      <c r="D27" s="1">
        <f>VLOOKUP(A27,'State Share Base Cost'!$A$3:$G$52,7,FALSE)</f>
        <v>8441952.7047676723</v>
      </c>
      <c r="E27" s="1">
        <f>VLOOKUP(A27,'Special Edu'!$A$5:$Q$54,17,FALSE)</f>
        <v>1075665.1794398979</v>
      </c>
      <c r="F27" s="1">
        <f>VLOOKUP(A27,DPIA!$A$5:$H$54,8,FALSE)</f>
        <v>282423.12</v>
      </c>
      <c r="G27" s="1">
        <f>VLOOKUP(A27,EL!$A$5:$L$54,12,FALSE)</f>
        <v>0</v>
      </c>
      <c r="H27" s="1">
        <f>VLOOKUP(A27,CTE!$A$5:$R$54,18,FALSE)</f>
        <v>3182916.6916383929</v>
      </c>
      <c r="I27" s="1">
        <f t="shared" si="0"/>
        <v>12982957.695845963</v>
      </c>
      <c r="J27" s="1">
        <v>8252100.8300000001</v>
      </c>
      <c r="K27" s="1">
        <v>104101.2</v>
      </c>
      <c r="L27" s="1">
        <f t="shared" si="1"/>
        <v>8356202.0300000003</v>
      </c>
      <c r="M27" s="1">
        <v>176998.95</v>
      </c>
      <c r="N27" s="1">
        <f t="shared" si="2"/>
        <v>8179203.0800000001</v>
      </c>
      <c r="O27" s="1">
        <f t="shared" si="3"/>
        <v>11440860.032419505</v>
      </c>
      <c r="P27" s="1">
        <f t="shared" si="4"/>
        <v>0</v>
      </c>
      <c r="Q27" s="1">
        <v>8644338.4600000009</v>
      </c>
      <c r="R27" s="1">
        <v>68730.070000000007</v>
      </c>
      <c r="S27" s="1">
        <f t="shared" si="5"/>
        <v>8713068.5300000012</v>
      </c>
      <c r="T27" s="1">
        <f t="shared" si="6"/>
        <v>0</v>
      </c>
      <c r="U27" s="1">
        <f t="shared" si="7"/>
        <v>11440860.032419505</v>
      </c>
      <c r="V27" s="1"/>
      <c r="W27" s="1"/>
      <c r="X27" s="1"/>
    </row>
    <row r="28" spans="1:24" x14ac:dyDescent="0.25">
      <c r="A28" t="s">
        <v>147</v>
      </c>
      <c r="B28" t="s">
        <v>148</v>
      </c>
      <c r="C28" t="s">
        <v>224</v>
      </c>
      <c r="D28" s="1">
        <f>VLOOKUP(A28,'State Share Base Cost'!$A$3:$G$52,7,FALSE)</f>
        <v>8171684.0824930193</v>
      </c>
      <c r="E28" s="1">
        <f>VLOOKUP(A28,'Special Edu'!$A$5:$Q$54,17,FALSE)</f>
        <v>1082516.4619689027</v>
      </c>
      <c r="F28" s="1">
        <f>VLOOKUP(A28,DPIA!$A$5:$H$54,8,FALSE)</f>
        <v>34846.550000000003</v>
      </c>
      <c r="G28" s="1">
        <f>VLOOKUP(A28,EL!$A$5:$L$54,12,FALSE)</f>
        <v>2080.3117308876645</v>
      </c>
      <c r="H28" s="1">
        <f>VLOOKUP(A28,CTE!$A$5:$R$54,18,FALSE)</f>
        <v>3050715.8260922576</v>
      </c>
      <c r="I28" s="1">
        <f t="shared" si="0"/>
        <v>12341843.232285069</v>
      </c>
      <c r="J28" s="1">
        <v>6397664.7300000004</v>
      </c>
      <c r="K28" s="1">
        <v>210681.49</v>
      </c>
      <c r="L28" s="1">
        <f t="shared" si="1"/>
        <v>6608346.2200000007</v>
      </c>
      <c r="M28" s="1">
        <v>14984.97</v>
      </c>
      <c r="N28" s="1">
        <f t="shared" si="2"/>
        <v>6593361.2500000009</v>
      </c>
      <c r="O28" s="1">
        <f t="shared" si="3"/>
        <v>10430868.678090455</v>
      </c>
      <c r="P28" s="1">
        <f t="shared" si="4"/>
        <v>0</v>
      </c>
      <c r="Q28" s="1">
        <v>6689530.5499999998</v>
      </c>
      <c r="R28" s="1">
        <v>223591.45</v>
      </c>
      <c r="S28" s="1">
        <f t="shared" si="5"/>
        <v>6913122</v>
      </c>
      <c r="T28" s="1">
        <f t="shared" si="6"/>
        <v>0</v>
      </c>
      <c r="U28" s="1">
        <f t="shared" si="7"/>
        <v>10430868.678090455</v>
      </c>
      <c r="V28" s="1"/>
      <c r="W28" s="1"/>
      <c r="X28" s="1"/>
    </row>
    <row r="29" spans="1:24" x14ac:dyDescent="0.25">
      <c r="A29" t="s">
        <v>149</v>
      </c>
      <c r="B29" t="s">
        <v>150</v>
      </c>
      <c r="C29" t="s">
        <v>225</v>
      </c>
      <c r="D29" s="1">
        <f>VLOOKUP(A29,'State Share Base Cost'!$A$3:$G$52,7,FALSE)</f>
        <v>16692006.438511342</v>
      </c>
      <c r="E29" s="1">
        <f>VLOOKUP(A29,'Special Edu'!$A$5:$Q$54,17,FALSE)</f>
        <v>3455570.4482689993</v>
      </c>
      <c r="F29" s="1">
        <f>VLOOKUP(A29,DPIA!$A$5:$H$54,8,FALSE)</f>
        <v>309116.23</v>
      </c>
      <c r="G29" s="1">
        <f>VLOOKUP(A29,EL!$A$5:$L$54,12,FALSE)</f>
        <v>7432.9701022548243</v>
      </c>
      <c r="H29" s="1">
        <f>VLOOKUP(A29,CTE!$A$5:$R$54,18,FALSE)</f>
        <v>6578427.5788538679</v>
      </c>
      <c r="I29" s="1">
        <f t="shared" si="0"/>
        <v>27042553.665736463</v>
      </c>
      <c r="J29" s="1">
        <v>16157492.869999999</v>
      </c>
      <c r="K29" s="1">
        <v>537538.69999999995</v>
      </c>
      <c r="L29" s="1">
        <f t="shared" si="1"/>
        <v>16695031.569999998</v>
      </c>
      <c r="M29" s="1">
        <v>160937.63</v>
      </c>
      <c r="N29" s="1">
        <f t="shared" si="2"/>
        <v>16534093.939999998</v>
      </c>
      <c r="O29" s="1">
        <f t="shared" si="3"/>
        <v>23593724.551227499</v>
      </c>
      <c r="P29" s="1">
        <f t="shared" si="4"/>
        <v>0</v>
      </c>
      <c r="Q29" s="1">
        <v>16481351.23</v>
      </c>
      <c r="R29" s="1">
        <v>733948.39</v>
      </c>
      <c r="S29" s="1">
        <f t="shared" si="5"/>
        <v>17215299.620000001</v>
      </c>
      <c r="T29" s="1">
        <f t="shared" si="6"/>
        <v>0</v>
      </c>
      <c r="U29" s="1">
        <f t="shared" si="7"/>
        <v>23593724.551227499</v>
      </c>
      <c r="V29" s="1"/>
      <c r="W29" s="1"/>
      <c r="X29" s="1"/>
    </row>
    <row r="30" spans="1:24" x14ac:dyDescent="0.25">
      <c r="A30" t="s">
        <v>151</v>
      </c>
      <c r="B30" t="s">
        <v>152</v>
      </c>
      <c r="C30" t="s">
        <v>226</v>
      </c>
      <c r="D30" s="1">
        <f>VLOOKUP(A30,'State Share Base Cost'!$A$3:$G$52,7,FALSE)</f>
        <v>4550934.8635708205</v>
      </c>
      <c r="E30" s="1">
        <f>VLOOKUP(A30,'Special Edu'!$A$5:$Q$54,17,FALSE)</f>
        <v>1072231.6247967905</v>
      </c>
      <c r="F30" s="1">
        <f>VLOOKUP(A30,DPIA!$A$5:$H$54,8,FALSE)</f>
        <v>1157999.24</v>
      </c>
      <c r="G30" s="1">
        <f>VLOOKUP(A30,EL!$A$5:$L$54,12,FALSE)</f>
        <v>0</v>
      </c>
      <c r="H30" s="1">
        <f>VLOOKUP(A30,CTE!$A$5:$R$54,18,FALSE)</f>
        <v>1421333.6702331381</v>
      </c>
      <c r="I30" s="1">
        <f t="shared" si="0"/>
        <v>8202499.3986007497</v>
      </c>
      <c r="J30" s="1">
        <v>4419950.9800000004</v>
      </c>
      <c r="K30" s="1">
        <v>164044.96</v>
      </c>
      <c r="L30" s="1">
        <f t="shared" si="1"/>
        <v>4583995.9400000004</v>
      </c>
      <c r="M30" s="1">
        <v>233169.57</v>
      </c>
      <c r="N30" s="1">
        <f t="shared" si="2"/>
        <v>4350826.37</v>
      </c>
      <c r="O30" s="1">
        <f t="shared" si="3"/>
        <v>6996452.1958491197</v>
      </c>
      <c r="P30" s="1">
        <f t="shared" si="4"/>
        <v>0</v>
      </c>
      <c r="Q30" s="1">
        <v>4624982.54</v>
      </c>
      <c r="R30" s="1">
        <v>144121.18</v>
      </c>
      <c r="S30" s="1">
        <f t="shared" si="5"/>
        <v>4769103.72</v>
      </c>
      <c r="T30" s="1">
        <f t="shared" si="6"/>
        <v>0</v>
      </c>
      <c r="U30" s="1">
        <f t="shared" si="7"/>
        <v>6996452.1958491197</v>
      </c>
      <c r="V30" s="1"/>
      <c r="W30" s="1"/>
      <c r="X30" s="1"/>
    </row>
    <row r="31" spans="1:24" x14ac:dyDescent="0.25">
      <c r="A31" t="s">
        <v>153</v>
      </c>
      <c r="B31" t="s">
        <v>154</v>
      </c>
      <c r="C31" t="s">
        <v>227</v>
      </c>
      <c r="D31" s="1">
        <f>VLOOKUP(A31,'State Share Base Cost'!$A$3:$G$52,7,FALSE)</f>
        <v>4924533.0115415603</v>
      </c>
      <c r="E31" s="1">
        <f>VLOOKUP(A31,'Special Edu'!$A$5:$Q$54,17,FALSE)</f>
        <v>1028307.1128627858</v>
      </c>
      <c r="F31" s="1">
        <f>VLOOKUP(A31,DPIA!$A$5:$H$54,8,FALSE)</f>
        <v>123024.64</v>
      </c>
      <c r="G31" s="1">
        <f>VLOOKUP(A31,EL!$A$5:$L$54,12,FALSE)</f>
        <v>0</v>
      </c>
      <c r="H31" s="1">
        <f>VLOOKUP(A31,CTE!$A$5:$R$54,18,FALSE)</f>
        <v>1706008.6813684974</v>
      </c>
      <c r="I31" s="1">
        <f t="shared" si="0"/>
        <v>7781873.4457728434</v>
      </c>
      <c r="J31" s="1">
        <v>4584502.2699999996</v>
      </c>
      <c r="K31" s="1">
        <v>219234.21</v>
      </c>
      <c r="L31" s="1">
        <f t="shared" si="1"/>
        <v>4803736.4799999995</v>
      </c>
      <c r="M31" s="1">
        <v>98817.53</v>
      </c>
      <c r="N31" s="1">
        <f t="shared" si="2"/>
        <v>4704918.9499999993</v>
      </c>
      <c r="O31" s="1">
        <f t="shared" si="3"/>
        <v>6789260.3950807545</v>
      </c>
      <c r="P31" s="1">
        <f t="shared" si="4"/>
        <v>0</v>
      </c>
      <c r="Q31" s="1">
        <v>4724301.5599999996</v>
      </c>
      <c r="R31" s="1">
        <v>357618.25</v>
      </c>
      <c r="S31" s="1">
        <f t="shared" si="5"/>
        <v>5081919.8099999996</v>
      </c>
      <c r="T31" s="1">
        <f t="shared" si="6"/>
        <v>0</v>
      </c>
      <c r="U31" s="1">
        <f t="shared" si="7"/>
        <v>6789260.3950807545</v>
      </c>
      <c r="V31" s="1"/>
      <c r="W31" s="1"/>
      <c r="X31" s="1"/>
    </row>
    <row r="32" spans="1:24" x14ac:dyDescent="0.25">
      <c r="A32" t="s">
        <v>155</v>
      </c>
      <c r="B32" t="s">
        <v>156</v>
      </c>
      <c r="C32" t="s">
        <v>228</v>
      </c>
      <c r="D32" s="1">
        <f>VLOOKUP(A32,'State Share Base Cost'!$A$3:$G$52,7,FALSE)</f>
        <v>11444753.192266613</v>
      </c>
      <c r="E32" s="1">
        <f>VLOOKUP(A32,'Special Edu'!$A$5:$Q$54,17,FALSE)</f>
        <v>2260902.525322685</v>
      </c>
      <c r="F32" s="1">
        <f>VLOOKUP(A32,DPIA!$A$5:$H$54,8,FALSE)</f>
        <v>353630.59</v>
      </c>
      <c r="G32" s="1">
        <f>VLOOKUP(A32,EL!$A$5:$L$54,12,FALSE)</f>
        <v>29304.790806964418</v>
      </c>
      <c r="H32" s="1">
        <f>VLOOKUP(A32,CTE!$A$5:$R$54,18,FALSE)</f>
        <v>4280354.656751438</v>
      </c>
      <c r="I32" s="1">
        <f t="shared" si="0"/>
        <v>18368945.755147699</v>
      </c>
      <c r="J32" s="1">
        <v>10747307.710000001</v>
      </c>
      <c r="K32" s="1">
        <v>890402.19</v>
      </c>
      <c r="L32" s="1">
        <f t="shared" si="1"/>
        <v>11637709.9</v>
      </c>
      <c r="M32" s="1">
        <v>177660.52</v>
      </c>
      <c r="N32" s="1">
        <f t="shared" si="2"/>
        <v>11460049.380000001</v>
      </c>
      <c r="O32" s="1">
        <f t="shared" si="3"/>
        <v>16125424.844626971</v>
      </c>
      <c r="P32" s="1">
        <f t="shared" si="4"/>
        <v>0</v>
      </c>
      <c r="Q32" s="1">
        <v>11164918.58</v>
      </c>
      <c r="R32" s="1">
        <v>736100.24</v>
      </c>
      <c r="S32" s="1">
        <f t="shared" si="5"/>
        <v>11901018.82</v>
      </c>
      <c r="T32" s="1">
        <f t="shared" si="6"/>
        <v>0</v>
      </c>
      <c r="U32" s="1">
        <f t="shared" si="7"/>
        <v>16125424.844626971</v>
      </c>
      <c r="V32" s="1"/>
      <c r="W32" s="1"/>
      <c r="X32" s="1"/>
    </row>
    <row r="33" spans="1:24" x14ac:dyDescent="0.25">
      <c r="A33" t="s">
        <v>157</v>
      </c>
      <c r="B33" t="s">
        <v>158</v>
      </c>
      <c r="C33" t="s">
        <v>229</v>
      </c>
      <c r="D33" s="1">
        <f>VLOOKUP(A33,'State Share Base Cost'!$A$3:$G$52,7,FALSE)</f>
        <v>9031240.5828854647</v>
      </c>
      <c r="E33" s="1">
        <f>VLOOKUP(A33,'Special Edu'!$A$5:$Q$54,17,FALSE)</f>
        <v>1392271.6092373137</v>
      </c>
      <c r="F33" s="1">
        <f>VLOOKUP(A33,DPIA!$A$5:$H$54,8,FALSE)</f>
        <v>12607.11</v>
      </c>
      <c r="G33" s="1">
        <f>VLOOKUP(A33,EL!$A$5:$L$54,12,FALSE)</f>
        <v>2301.7237866671248</v>
      </c>
      <c r="H33" s="1">
        <f>VLOOKUP(A33,CTE!$A$5:$R$54,18,FALSE)</f>
        <v>3627459.5348814945</v>
      </c>
      <c r="I33" s="1">
        <f t="shared" si="0"/>
        <v>14065880.560790939</v>
      </c>
      <c r="J33" s="1">
        <v>10140777.08</v>
      </c>
      <c r="K33" s="1">
        <v>247141.47</v>
      </c>
      <c r="L33" s="1">
        <f t="shared" si="1"/>
        <v>10387918.550000001</v>
      </c>
      <c r="M33" s="1">
        <v>326695.25</v>
      </c>
      <c r="N33" s="1">
        <f t="shared" si="2"/>
        <v>10061223.300000001</v>
      </c>
      <c r="O33" s="1">
        <f t="shared" si="3"/>
        <v>12840015.82259432</v>
      </c>
      <c r="P33" s="1">
        <f t="shared" si="4"/>
        <v>0</v>
      </c>
      <c r="Q33" s="1">
        <v>10521031.99</v>
      </c>
      <c r="R33" s="1">
        <v>216869.48</v>
      </c>
      <c r="S33" s="1">
        <f t="shared" si="5"/>
        <v>10737901.470000001</v>
      </c>
      <c r="T33" s="1">
        <f t="shared" si="6"/>
        <v>0</v>
      </c>
      <c r="U33" s="1">
        <f t="shared" si="7"/>
        <v>12840015.82259432</v>
      </c>
      <c r="V33" s="1"/>
      <c r="W33" s="1"/>
      <c r="X33" s="1"/>
    </row>
    <row r="34" spans="1:24" x14ac:dyDescent="0.25">
      <c r="A34" t="s">
        <v>159</v>
      </c>
      <c r="B34" t="s">
        <v>160</v>
      </c>
      <c r="C34" t="s">
        <v>230</v>
      </c>
      <c r="D34" s="1">
        <f>VLOOKUP(A34,'State Share Base Cost'!$A$3:$G$52,7,FALSE)</f>
        <v>7628249.4906541444</v>
      </c>
      <c r="E34" s="1">
        <f>VLOOKUP(A34,'Special Edu'!$A$5:$Q$54,17,FALSE)</f>
        <v>1045399.5607526754</v>
      </c>
      <c r="F34" s="1">
        <f>VLOOKUP(A34,DPIA!$A$5:$H$54,8,FALSE)</f>
        <v>121580.63</v>
      </c>
      <c r="G34" s="1">
        <f>VLOOKUP(A34,EL!$A$5:$L$54,12,FALSE)</f>
        <v>2205.8969058816833</v>
      </c>
      <c r="H34" s="1">
        <f>VLOOKUP(A34,CTE!$A$5:$R$54,18,FALSE)</f>
        <v>3822149.0485259783</v>
      </c>
      <c r="I34" s="1">
        <f t="shared" si="0"/>
        <v>12619584.62683868</v>
      </c>
      <c r="J34" s="1">
        <v>8000272.0999999996</v>
      </c>
      <c r="K34" s="1">
        <v>242462.5</v>
      </c>
      <c r="L34" s="1">
        <f t="shared" si="1"/>
        <v>8242734.5999999996</v>
      </c>
      <c r="M34" s="1">
        <v>89839.07</v>
      </c>
      <c r="N34" s="1">
        <f t="shared" si="2"/>
        <v>8152895.5299999993</v>
      </c>
      <c r="O34" s="1">
        <f t="shared" si="3"/>
        <v>11160780.512893347</v>
      </c>
      <c r="P34" s="1">
        <f t="shared" si="4"/>
        <v>0</v>
      </c>
      <c r="Q34" s="1">
        <v>8235460.9800000004</v>
      </c>
      <c r="R34" s="1">
        <v>254927.24</v>
      </c>
      <c r="S34" s="1">
        <f t="shared" si="5"/>
        <v>8490388.2200000007</v>
      </c>
      <c r="T34" s="1">
        <f t="shared" si="6"/>
        <v>0</v>
      </c>
      <c r="U34" s="1">
        <f t="shared" si="7"/>
        <v>11160780.512893347</v>
      </c>
      <c r="V34" s="1"/>
      <c r="W34" s="1"/>
      <c r="X34" s="1"/>
    </row>
    <row r="35" spans="1:24" x14ac:dyDescent="0.25">
      <c r="A35" t="s">
        <v>161</v>
      </c>
      <c r="B35" t="s">
        <v>162</v>
      </c>
      <c r="C35" t="s">
        <v>231</v>
      </c>
      <c r="D35" s="1">
        <f>VLOOKUP(A35,'State Share Base Cost'!$A$3:$G$52,7,FALSE)</f>
        <v>8352437.7784274835</v>
      </c>
      <c r="E35" s="1">
        <f>VLOOKUP(A35,'Special Edu'!$A$5:$Q$54,17,FALSE)</f>
        <v>1268057.7062883973</v>
      </c>
      <c r="F35" s="1">
        <f>VLOOKUP(A35,DPIA!$A$5:$H$54,8,FALSE)</f>
        <v>31679.98</v>
      </c>
      <c r="G35" s="1">
        <f>VLOOKUP(A35,EL!$A$5:$L$54,12,FALSE)</f>
        <v>2965.2982444613408</v>
      </c>
      <c r="H35" s="1">
        <f>VLOOKUP(A35,CTE!$A$5:$R$54,18,FALSE)</f>
        <v>3102409.5778248142</v>
      </c>
      <c r="I35" s="1">
        <f t="shared" si="0"/>
        <v>12757550.340785157</v>
      </c>
      <c r="J35" s="1">
        <v>6498810.5199999996</v>
      </c>
      <c r="K35" s="1">
        <v>737363.87</v>
      </c>
      <c r="L35" s="1">
        <f t="shared" si="1"/>
        <v>7236174.3899999997</v>
      </c>
      <c r="M35" s="1">
        <v>10889.05</v>
      </c>
      <c r="N35" s="1">
        <f t="shared" si="2"/>
        <v>7225285.3399999999</v>
      </c>
      <c r="O35" s="1">
        <f t="shared" si="3"/>
        <v>10917275.736388464</v>
      </c>
      <c r="P35" s="1">
        <f t="shared" si="4"/>
        <v>0</v>
      </c>
      <c r="Q35" s="1">
        <v>6620352.6600000001</v>
      </c>
      <c r="R35" s="1">
        <v>1106003.8899999999</v>
      </c>
      <c r="S35" s="1">
        <f t="shared" si="5"/>
        <v>7726356.5499999998</v>
      </c>
      <c r="T35" s="1">
        <f t="shared" si="6"/>
        <v>0</v>
      </c>
      <c r="U35" s="1">
        <f t="shared" si="7"/>
        <v>10917275.736388464</v>
      </c>
      <c r="V35" s="1"/>
      <c r="W35" s="1"/>
      <c r="X35" s="1"/>
    </row>
    <row r="36" spans="1:24" x14ac:dyDescent="0.25">
      <c r="A36" t="s">
        <v>163</v>
      </c>
      <c r="B36" t="s">
        <v>164</v>
      </c>
      <c r="C36" t="s">
        <v>232</v>
      </c>
      <c r="D36" s="1">
        <f>VLOOKUP(A36,'State Share Base Cost'!$A$3:$G$52,7,FALSE)</f>
        <v>6156131.3980483506</v>
      </c>
      <c r="E36" s="1">
        <f>VLOOKUP(A36,'Special Edu'!$A$5:$Q$54,17,FALSE)</f>
        <v>1264296.3888358944</v>
      </c>
      <c r="F36" s="1">
        <f>VLOOKUP(A36,DPIA!$A$5:$H$54,8,FALSE)</f>
        <v>854651.84</v>
      </c>
      <c r="G36" s="1">
        <f>VLOOKUP(A36,EL!$A$5:$L$54,12,FALSE)</f>
        <v>0</v>
      </c>
      <c r="H36" s="1">
        <f>VLOOKUP(A36,CTE!$A$5:$R$54,18,FALSE)</f>
        <v>2361770.4527752469</v>
      </c>
      <c r="I36" s="1">
        <f t="shared" si="0"/>
        <v>10636850.079659492</v>
      </c>
      <c r="J36" s="1">
        <v>5222967.3499999996</v>
      </c>
      <c r="K36" s="1">
        <v>165906.47</v>
      </c>
      <c r="L36" s="1">
        <f t="shared" si="1"/>
        <v>5388873.8199999994</v>
      </c>
      <c r="M36" s="1">
        <v>516308.63</v>
      </c>
      <c r="N36" s="1">
        <f t="shared" si="2"/>
        <v>4872565.1899999995</v>
      </c>
      <c r="O36" s="1">
        <f t="shared" si="3"/>
        <v>8887699.5923149809</v>
      </c>
      <c r="P36" s="1">
        <f t="shared" si="4"/>
        <v>0</v>
      </c>
      <c r="Q36" s="1">
        <v>5448863.1500000004</v>
      </c>
      <c r="R36" s="1">
        <v>164817.79</v>
      </c>
      <c r="S36" s="1">
        <f t="shared" si="5"/>
        <v>5613680.9400000004</v>
      </c>
      <c r="T36" s="1">
        <f t="shared" si="6"/>
        <v>0</v>
      </c>
      <c r="U36" s="1">
        <f t="shared" si="7"/>
        <v>8887699.5923149809</v>
      </c>
      <c r="V36" s="1"/>
      <c r="W36" s="1"/>
      <c r="X36" s="1"/>
    </row>
    <row r="37" spans="1:24" x14ac:dyDescent="0.25">
      <c r="A37" t="s">
        <v>165</v>
      </c>
      <c r="B37" t="s">
        <v>166</v>
      </c>
      <c r="C37" t="s">
        <v>233</v>
      </c>
      <c r="D37" s="1">
        <f>VLOOKUP(A37,'State Share Base Cost'!$A$3:$G$52,7,FALSE)</f>
        <v>6490132.6837248178</v>
      </c>
      <c r="E37" s="1">
        <f>VLOOKUP(A37,'Special Edu'!$A$5:$Q$54,17,FALSE)</f>
        <v>1165459.9845931521</v>
      </c>
      <c r="F37" s="1">
        <f>VLOOKUP(A37,DPIA!$A$5:$H$54,8,FALSE)</f>
        <v>206548.1</v>
      </c>
      <c r="G37" s="1">
        <f>VLOOKUP(A37,EL!$A$5:$L$54,12,FALSE)</f>
        <v>20045.877041419993</v>
      </c>
      <c r="H37" s="1">
        <f>VLOOKUP(A37,CTE!$A$5:$R$54,18,FALSE)</f>
        <v>2333050.2498400528</v>
      </c>
      <c r="I37" s="1">
        <f t="shared" si="0"/>
        <v>10215236.895199442</v>
      </c>
      <c r="J37" s="1">
        <v>5777286.3099999996</v>
      </c>
      <c r="K37" s="1">
        <v>91714.880000000005</v>
      </c>
      <c r="L37" s="1">
        <f t="shared" si="1"/>
        <v>5869001.1899999995</v>
      </c>
      <c r="M37" s="1">
        <v>120749.32</v>
      </c>
      <c r="N37" s="1">
        <f t="shared" si="2"/>
        <v>5748251.8699999992</v>
      </c>
      <c r="O37" s="1">
        <f t="shared" si="3"/>
        <v>8766636.5346564669</v>
      </c>
      <c r="P37" s="1">
        <f t="shared" si="4"/>
        <v>0</v>
      </c>
      <c r="Q37" s="1">
        <v>5949851.7000000002</v>
      </c>
      <c r="R37" s="1">
        <v>89517.89</v>
      </c>
      <c r="S37" s="1">
        <f t="shared" si="5"/>
        <v>6039369.5899999999</v>
      </c>
      <c r="T37" s="1">
        <f t="shared" si="6"/>
        <v>0</v>
      </c>
      <c r="U37" s="1">
        <f t="shared" si="7"/>
        <v>8766636.5346564669</v>
      </c>
      <c r="V37" s="1"/>
      <c r="W37" s="1"/>
      <c r="X37" s="1"/>
    </row>
    <row r="38" spans="1:24" x14ac:dyDescent="0.25">
      <c r="A38" t="s">
        <v>167</v>
      </c>
      <c r="B38" t="s">
        <v>168</v>
      </c>
      <c r="C38" t="s">
        <v>234</v>
      </c>
      <c r="D38" s="1">
        <f>VLOOKUP(A38,'State Share Base Cost'!$A$3:$G$52,7,FALSE)</f>
        <v>4807784.3212957177</v>
      </c>
      <c r="E38" s="1">
        <f>VLOOKUP(A38,'Special Edu'!$A$5:$Q$54,17,FALSE)</f>
        <v>1163442.0566036166</v>
      </c>
      <c r="F38" s="1">
        <f>VLOOKUP(A38,DPIA!$A$5:$H$54,8,FALSE)</f>
        <v>1549704</v>
      </c>
      <c r="G38" s="1">
        <f>VLOOKUP(A38,EL!$A$5:$L$54,12,FALSE)</f>
        <v>671.46111869615765</v>
      </c>
      <c r="H38" s="1">
        <f>VLOOKUP(A38,CTE!$A$5:$R$54,18,FALSE)</f>
        <v>1763013.5847136315</v>
      </c>
      <c r="I38" s="1">
        <f t="shared" si="0"/>
        <v>9284615.4237316623</v>
      </c>
      <c r="J38" s="1">
        <v>3590253.88</v>
      </c>
      <c r="K38" s="1">
        <v>208059.48</v>
      </c>
      <c r="L38" s="1">
        <f t="shared" si="1"/>
        <v>3798313.36</v>
      </c>
      <c r="M38" s="1">
        <v>207496.41</v>
      </c>
      <c r="N38" s="1">
        <f t="shared" si="2"/>
        <v>3590816.9499999997</v>
      </c>
      <c r="O38" s="1">
        <f t="shared" si="3"/>
        <v>7456030.9458898995</v>
      </c>
      <c r="P38" s="1">
        <f t="shared" si="4"/>
        <v>0</v>
      </c>
      <c r="Q38" s="1">
        <v>3771465.69</v>
      </c>
      <c r="R38" s="1">
        <v>219687.07</v>
      </c>
      <c r="S38" s="1">
        <f t="shared" si="5"/>
        <v>3991152.76</v>
      </c>
      <c r="T38" s="1">
        <f t="shared" si="6"/>
        <v>0</v>
      </c>
      <c r="U38" s="1">
        <f t="shared" si="7"/>
        <v>7456030.9458898995</v>
      </c>
      <c r="V38" s="1"/>
      <c r="W38" s="1"/>
      <c r="X38" s="1"/>
    </row>
    <row r="39" spans="1:24" x14ac:dyDescent="0.25">
      <c r="A39" t="s">
        <v>169</v>
      </c>
      <c r="B39" t="s">
        <v>170</v>
      </c>
      <c r="C39" t="s">
        <v>235</v>
      </c>
      <c r="D39" s="1">
        <f>VLOOKUP(A39,'State Share Base Cost'!$A$3:$G$52,7,FALSE)</f>
        <v>7765450.8145695329</v>
      </c>
      <c r="E39" s="1">
        <f>VLOOKUP(A39,'Special Edu'!$A$5:$Q$54,17,FALSE)</f>
        <v>1478699.8104469324</v>
      </c>
      <c r="F39" s="1">
        <f>VLOOKUP(A39,DPIA!$A$5:$H$54,8,FALSE)</f>
        <v>384793.79</v>
      </c>
      <c r="G39" s="1">
        <f>VLOOKUP(A39,EL!$A$5:$L$54,12,FALSE)</f>
        <v>0</v>
      </c>
      <c r="H39" s="1">
        <f>VLOOKUP(A39,CTE!$A$5:$R$54,18,FALSE)</f>
        <v>2820224.8229265083</v>
      </c>
      <c r="I39" s="1">
        <f t="shared" si="0"/>
        <v>12449169.237942973</v>
      </c>
      <c r="J39" s="1">
        <v>7538012.9400000004</v>
      </c>
      <c r="K39" s="1">
        <v>155566.32999999999</v>
      </c>
      <c r="L39" s="1">
        <f t="shared" si="1"/>
        <v>7693579.2700000005</v>
      </c>
      <c r="M39" s="1">
        <v>199034.47</v>
      </c>
      <c r="N39" s="1">
        <f t="shared" si="2"/>
        <v>7494544.8000000007</v>
      </c>
      <c r="O39" s="1">
        <f t="shared" si="3"/>
        <v>10864131.101627581</v>
      </c>
      <c r="P39" s="1">
        <f t="shared" si="4"/>
        <v>0</v>
      </c>
      <c r="Q39" s="1">
        <v>7796397.1500000004</v>
      </c>
      <c r="R39" s="1">
        <v>161478.20000000001</v>
      </c>
      <c r="S39" s="1">
        <f t="shared" si="5"/>
        <v>7957875.3500000006</v>
      </c>
      <c r="T39" s="1">
        <f t="shared" si="6"/>
        <v>0</v>
      </c>
      <c r="U39" s="1">
        <f t="shared" si="7"/>
        <v>10864131.101627581</v>
      </c>
      <c r="V39" s="1"/>
      <c r="W39" s="1"/>
      <c r="X39" s="1"/>
    </row>
    <row r="40" spans="1:24" x14ac:dyDescent="0.25">
      <c r="A40" t="s">
        <v>171</v>
      </c>
      <c r="B40" t="s">
        <v>172</v>
      </c>
      <c r="C40" t="s">
        <v>236</v>
      </c>
      <c r="D40" s="1">
        <f>VLOOKUP(A40,'State Share Base Cost'!$A$3:$G$52,7,FALSE)</f>
        <v>6798812.3335201908</v>
      </c>
      <c r="E40" s="1">
        <f>VLOOKUP(A40,'Special Edu'!$A$5:$Q$54,17,FALSE)</f>
        <v>1222723.7602495048</v>
      </c>
      <c r="F40" s="1">
        <f>VLOOKUP(A40,DPIA!$A$5:$H$54,8,FALSE)</f>
        <v>163074.89000000001</v>
      </c>
      <c r="G40" s="1">
        <f>VLOOKUP(A40,EL!$A$5:$L$54,12,FALSE)</f>
        <v>17765.187641296514</v>
      </c>
      <c r="H40" s="1">
        <f>VLOOKUP(A40,CTE!$A$5:$R$54,18,FALSE)</f>
        <v>2471117.403596357</v>
      </c>
      <c r="I40" s="1">
        <f t="shared" si="0"/>
        <v>10673493.575007349</v>
      </c>
      <c r="J40" s="1">
        <v>6899219.6600000001</v>
      </c>
      <c r="K40" s="1">
        <v>261378</v>
      </c>
      <c r="L40" s="1">
        <f t="shared" si="1"/>
        <v>7160597.6600000001</v>
      </c>
      <c r="M40" s="1">
        <v>86819.22</v>
      </c>
      <c r="N40" s="1">
        <f t="shared" si="2"/>
        <v>7073778.4400000004</v>
      </c>
      <c r="O40" s="1">
        <f t="shared" si="3"/>
        <v>9502645.3665353991</v>
      </c>
      <c r="P40" s="1">
        <f t="shared" si="4"/>
        <v>0</v>
      </c>
      <c r="Q40" s="1">
        <v>7216710.5499999998</v>
      </c>
      <c r="R40" s="1">
        <v>344853.13</v>
      </c>
      <c r="S40" s="1">
        <f t="shared" si="5"/>
        <v>7561563.6799999997</v>
      </c>
      <c r="T40" s="1">
        <f t="shared" si="6"/>
        <v>0</v>
      </c>
      <c r="U40" s="1">
        <f t="shared" si="7"/>
        <v>9502645.3665353991</v>
      </c>
      <c r="V40" s="1"/>
      <c r="W40" s="1"/>
      <c r="X40" s="1"/>
    </row>
    <row r="41" spans="1:24" x14ac:dyDescent="0.25">
      <c r="A41" t="s">
        <v>173</v>
      </c>
      <c r="B41" t="s">
        <v>174</v>
      </c>
      <c r="C41" t="s">
        <v>237</v>
      </c>
      <c r="D41" s="1">
        <f>VLOOKUP(A41,'State Share Base Cost'!$A$3:$G$52,7,FALSE)</f>
        <v>4615663.2748529743</v>
      </c>
      <c r="E41" s="1">
        <f>VLOOKUP(A41,'Special Edu'!$A$5:$Q$54,17,FALSE)</f>
        <v>561785.22626815632</v>
      </c>
      <c r="F41" s="1">
        <f>VLOOKUP(A41,DPIA!$A$5:$H$54,8,FALSE)</f>
        <v>41426.629999999997</v>
      </c>
      <c r="G41" s="1">
        <f>VLOOKUP(A41,EL!$A$5:$L$54,12,FALSE)</f>
        <v>0</v>
      </c>
      <c r="H41" s="1">
        <f>VLOOKUP(A41,CTE!$A$5:$R$54,18,FALSE)</f>
        <v>1584797.112711055</v>
      </c>
      <c r="I41" s="1">
        <f t="shared" si="0"/>
        <v>6803672.2438321859</v>
      </c>
      <c r="J41" s="1">
        <v>3586758.75</v>
      </c>
      <c r="K41" s="1">
        <v>263103.28999999998</v>
      </c>
      <c r="L41" s="1">
        <f t="shared" si="1"/>
        <v>3849862.04</v>
      </c>
      <c r="M41" s="1">
        <v>22152.21</v>
      </c>
      <c r="N41" s="1">
        <f t="shared" si="2"/>
        <v>3827709.83</v>
      </c>
      <c r="O41" s="1">
        <f t="shared" si="3"/>
        <v>5819167.3028949182</v>
      </c>
      <c r="P41" s="1">
        <f t="shared" si="4"/>
        <v>0</v>
      </c>
      <c r="Q41" s="1">
        <v>3700102.2</v>
      </c>
      <c r="R41" s="1">
        <v>211032.03</v>
      </c>
      <c r="S41" s="1">
        <f t="shared" si="5"/>
        <v>3911134.23</v>
      </c>
      <c r="T41" s="1">
        <f t="shared" si="6"/>
        <v>0</v>
      </c>
      <c r="U41" s="1">
        <f t="shared" si="7"/>
        <v>5819167.3028949182</v>
      </c>
      <c r="V41" s="1"/>
      <c r="W41" s="1"/>
      <c r="X41" s="1"/>
    </row>
    <row r="42" spans="1:24" x14ac:dyDescent="0.25">
      <c r="A42" t="s">
        <v>175</v>
      </c>
      <c r="B42" t="s">
        <v>176</v>
      </c>
      <c r="C42" t="s">
        <v>238</v>
      </c>
      <c r="D42" s="1">
        <f>VLOOKUP(A42,'State Share Base Cost'!$A$3:$G$52,7,FALSE)</f>
        <v>4498762.9451278029</v>
      </c>
      <c r="E42" s="1">
        <f>VLOOKUP(A42,'Special Edu'!$A$5:$Q$54,17,FALSE)</f>
        <v>640660.14614822692</v>
      </c>
      <c r="F42" s="1">
        <f>VLOOKUP(A42,DPIA!$A$5:$H$54,8,FALSE)</f>
        <v>155425.53</v>
      </c>
      <c r="G42" s="1">
        <f>VLOOKUP(A42,EL!$A$5:$L$54,12,FALSE)</f>
        <v>0</v>
      </c>
      <c r="H42" s="1">
        <f>VLOOKUP(A42,CTE!$A$5:$R$54,18,FALSE)</f>
        <v>1607316.3847275386</v>
      </c>
      <c r="I42" s="1">
        <f t="shared" si="0"/>
        <v>6902165.0060035689</v>
      </c>
      <c r="J42" s="1">
        <v>3563060.6</v>
      </c>
      <c r="K42" s="1">
        <v>64665.2</v>
      </c>
      <c r="L42" s="1">
        <f t="shared" si="1"/>
        <v>3627725.8000000003</v>
      </c>
      <c r="M42" s="1">
        <v>102798.95</v>
      </c>
      <c r="N42" s="1">
        <f t="shared" si="2"/>
        <v>3524926.85</v>
      </c>
      <c r="O42" s="1">
        <f t="shared" si="3"/>
        <v>5810794.4186425796</v>
      </c>
      <c r="P42" s="1">
        <f t="shared" si="4"/>
        <v>0</v>
      </c>
      <c r="Q42" s="1">
        <v>3715383.95</v>
      </c>
      <c r="R42" s="1">
        <v>106532.3</v>
      </c>
      <c r="S42" s="1">
        <f t="shared" si="5"/>
        <v>3821916.25</v>
      </c>
      <c r="T42" s="1">
        <f t="shared" si="6"/>
        <v>0</v>
      </c>
      <c r="U42" s="1">
        <f t="shared" si="7"/>
        <v>5810794.4186425796</v>
      </c>
      <c r="V42" s="1"/>
      <c r="W42" s="1"/>
      <c r="X42" s="1"/>
    </row>
    <row r="43" spans="1:24" x14ac:dyDescent="0.25">
      <c r="A43" t="s">
        <v>177</v>
      </c>
      <c r="B43" t="s">
        <v>178</v>
      </c>
      <c r="C43" t="s">
        <v>239</v>
      </c>
      <c r="D43" s="1">
        <f>VLOOKUP(A43,'State Share Base Cost'!$A$3:$G$52,7,FALSE)</f>
        <v>5479304.5654128622</v>
      </c>
      <c r="E43" s="1">
        <f>VLOOKUP(A43,'Special Edu'!$A$5:$Q$54,17,FALSE)</f>
        <v>955422.95226269471</v>
      </c>
      <c r="F43" s="1">
        <f>VLOOKUP(A43,DPIA!$A$5:$H$54,8,FALSE)</f>
        <v>211987.62</v>
      </c>
      <c r="G43" s="1">
        <f>VLOOKUP(A43,EL!$A$5:$L$54,12,FALSE)</f>
        <v>16597.951241763796</v>
      </c>
      <c r="H43" s="1">
        <f>VLOOKUP(A43,CTE!$A$5:$R$54,18,FALSE)</f>
        <v>1962552.5044458448</v>
      </c>
      <c r="I43" s="1">
        <f t="shared" si="0"/>
        <v>8625865.5933631659</v>
      </c>
      <c r="J43" s="1">
        <v>5743834.3700000001</v>
      </c>
      <c r="K43" s="1">
        <v>295081.5</v>
      </c>
      <c r="L43" s="1">
        <f t="shared" si="1"/>
        <v>6038915.8700000001</v>
      </c>
      <c r="M43" s="1">
        <v>167130.06</v>
      </c>
      <c r="N43" s="1">
        <f t="shared" si="2"/>
        <v>5871785.8100000005</v>
      </c>
      <c r="O43" s="1">
        <f t="shared" si="3"/>
        <v>7763635.2505662227</v>
      </c>
      <c r="P43" s="1">
        <f t="shared" si="4"/>
        <v>0</v>
      </c>
      <c r="Q43" s="1">
        <v>5968615.9400000004</v>
      </c>
      <c r="R43" s="1">
        <v>257093.59</v>
      </c>
      <c r="S43" s="1">
        <f t="shared" si="5"/>
        <v>6225709.5300000003</v>
      </c>
      <c r="T43" s="1">
        <f t="shared" si="6"/>
        <v>0</v>
      </c>
      <c r="U43" s="1">
        <f t="shared" si="7"/>
        <v>7763635.2505662227</v>
      </c>
      <c r="V43" s="1"/>
      <c r="W43" s="1"/>
      <c r="X43" s="1"/>
    </row>
    <row r="44" spans="1:24" x14ac:dyDescent="0.25">
      <c r="A44" t="s">
        <v>179</v>
      </c>
      <c r="B44" t="s">
        <v>180</v>
      </c>
      <c r="C44" t="s">
        <v>240</v>
      </c>
      <c r="D44" s="1">
        <f>VLOOKUP(A44,'State Share Base Cost'!$A$3:$G$52,7,FALSE)</f>
        <v>6500850.8431216124</v>
      </c>
      <c r="E44" s="1">
        <f>VLOOKUP(A44,'Special Edu'!$A$5:$Q$54,17,FALSE)</f>
        <v>853970.89912625041</v>
      </c>
      <c r="F44" s="1">
        <f>VLOOKUP(A44,DPIA!$A$5:$H$54,8,FALSE)</f>
        <v>159713.68</v>
      </c>
      <c r="G44" s="1">
        <f>VLOOKUP(A44,EL!$A$5:$L$54,12,FALSE)</f>
        <v>0</v>
      </c>
      <c r="H44" s="1">
        <f>VLOOKUP(A44,CTE!$A$5:$R$54,18,FALSE)</f>
        <v>2002048.0834300863</v>
      </c>
      <c r="I44" s="1">
        <f t="shared" si="0"/>
        <v>9516583.5056779496</v>
      </c>
      <c r="J44" s="1">
        <v>3884187.93</v>
      </c>
      <c r="K44" s="1">
        <v>455204.38</v>
      </c>
      <c r="L44" s="1">
        <f t="shared" si="1"/>
        <v>4339392.3100000005</v>
      </c>
      <c r="M44" s="1">
        <v>50765.27</v>
      </c>
      <c r="N44" s="1">
        <f t="shared" si="2"/>
        <v>4288627.040000001</v>
      </c>
      <c r="O44" s="1">
        <f t="shared" si="3"/>
        <v>7791025.6801584885</v>
      </c>
      <c r="P44" s="1">
        <f t="shared" si="4"/>
        <v>0</v>
      </c>
      <c r="Q44" s="1">
        <v>4029473.46</v>
      </c>
      <c r="R44" s="1">
        <v>449009.84</v>
      </c>
      <c r="S44" s="1">
        <f t="shared" si="5"/>
        <v>4478483.3</v>
      </c>
      <c r="T44" s="1">
        <f t="shared" si="6"/>
        <v>0</v>
      </c>
      <c r="U44" s="1">
        <f t="shared" si="7"/>
        <v>7791025.6801584885</v>
      </c>
      <c r="V44" s="1"/>
      <c r="W44" s="1"/>
      <c r="X44" s="1"/>
    </row>
    <row r="45" spans="1:24" x14ac:dyDescent="0.25">
      <c r="A45" t="s">
        <v>181</v>
      </c>
      <c r="B45" t="s">
        <v>182</v>
      </c>
      <c r="C45" t="s">
        <v>241</v>
      </c>
      <c r="D45" s="1">
        <f>VLOOKUP(A45,'State Share Base Cost'!$A$3:$G$52,7,FALSE)</f>
        <v>4354701.3467084626</v>
      </c>
      <c r="E45" s="1">
        <f>VLOOKUP(A45,'Special Edu'!$A$5:$Q$54,17,FALSE)</f>
        <v>515757.39</v>
      </c>
      <c r="F45" s="1">
        <f>VLOOKUP(A45,DPIA!$A$5:$H$54,8,FALSE)</f>
        <v>32765.72</v>
      </c>
      <c r="G45" s="1">
        <f>VLOOKUP(A45,EL!$A$5:$L$54,12,FALSE)</f>
        <v>0</v>
      </c>
      <c r="H45" s="1">
        <f>VLOOKUP(A45,CTE!$A$5:$R$54,18,FALSE)</f>
        <v>1362116.0883226369</v>
      </c>
      <c r="I45" s="1">
        <f t="shared" si="0"/>
        <v>6265340.5450310986</v>
      </c>
      <c r="J45" s="1">
        <v>2626756.5699999998</v>
      </c>
      <c r="K45" s="1">
        <v>273212.3</v>
      </c>
      <c r="L45" s="1">
        <f t="shared" si="1"/>
        <v>2899968.8699999996</v>
      </c>
      <c r="M45" s="1">
        <v>20506.36</v>
      </c>
      <c r="N45" s="1">
        <f t="shared" si="2"/>
        <v>2879462.51</v>
      </c>
      <c r="O45" s="1">
        <f t="shared" si="3"/>
        <v>5143662.1657432336</v>
      </c>
      <c r="P45" s="1">
        <f t="shared" si="4"/>
        <v>0</v>
      </c>
      <c r="Q45" s="1">
        <v>2766702.4</v>
      </c>
      <c r="R45" s="1">
        <v>357174.25</v>
      </c>
      <c r="S45" s="1">
        <f t="shared" si="5"/>
        <v>3123876.65</v>
      </c>
      <c r="T45" s="1">
        <f t="shared" si="6"/>
        <v>0</v>
      </c>
      <c r="U45" s="1">
        <f t="shared" si="7"/>
        <v>5143662.1657432336</v>
      </c>
      <c r="V45" s="1"/>
      <c r="W45" s="1"/>
      <c r="X45" s="1"/>
    </row>
    <row r="46" spans="1:24" x14ac:dyDescent="0.25">
      <c r="A46" t="s">
        <v>183</v>
      </c>
      <c r="B46" t="s">
        <v>184</v>
      </c>
      <c r="C46" t="s">
        <v>242</v>
      </c>
      <c r="D46" s="1">
        <f>VLOOKUP(A46,'State Share Base Cost'!$A$3:$G$52,7,FALSE)</f>
        <v>5971343.2097231681</v>
      </c>
      <c r="E46" s="1">
        <f>VLOOKUP(A46,'Special Edu'!$A$5:$Q$54,17,FALSE)</f>
        <v>1120810.6094009841</v>
      </c>
      <c r="F46" s="1">
        <f>VLOOKUP(A46,DPIA!$A$5:$H$54,8,FALSE)</f>
        <v>1031869.54</v>
      </c>
      <c r="G46" s="1">
        <f>VLOOKUP(A46,EL!$A$5:$L$54,12,FALSE)</f>
        <v>0</v>
      </c>
      <c r="H46" s="1">
        <f>VLOOKUP(A46,CTE!$A$5:$R$54,18,FALSE)</f>
        <v>2028217.6414043249</v>
      </c>
      <c r="I46" s="1">
        <f t="shared" si="0"/>
        <v>10152241.000528477</v>
      </c>
      <c r="J46" s="1">
        <v>7126560.2000000002</v>
      </c>
      <c r="K46" s="1">
        <v>58456.84</v>
      </c>
      <c r="L46" s="1">
        <f t="shared" si="1"/>
        <v>7185017.04</v>
      </c>
      <c r="M46" s="1">
        <v>736059.72</v>
      </c>
      <c r="N46" s="1">
        <f t="shared" si="2"/>
        <v>6448957.3200000003</v>
      </c>
      <c r="O46" s="1">
        <f t="shared" si="3"/>
        <v>9163265.2544843368</v>
      </c>
      <c r="P46" s="1">
        <f t="shared" si="4"/>
        <v>0</v>
      </c>
      <c r="Q46" s="1">
        <v>7467405.1399999997</v>
      </c>
      <c r="R46" s="1">
        <v>78677.34</v>
      </c>
      <c r="S46" s="1">
        <f t="shared" si="5"/>
        <v>7546082.4799999995</v>
      </c>
      <c r="T46" s="1">
        <f t="shared" si="6"/>
        <v>0</v>
      </c>
      <c r="U46" s="1">
        <f t="shared" si="7"/>
        <v>9163265.2544843368</v>
      </c>
      <c r="V46" s="1"/>
      <c r="W46" s="1"/>
      <c r="X46" s="1"/>
    </row>
    <row r="47" spans="1:24" x14ac:dyDescent="0.25">
      <c r="A47" t="s">
        <v>185</v>
      </c>
      <c r="B47" t="s">
        <v>186</v>
      </c>
      <c r="C47" t="s">
        <v>243</v>
      </c>
      <c r="D47" s="1">
        <f>VLOOKUP(A47,'State Share Base Cost'!$A$3:$G$52,7,FALSE)</f>
        <v>7482664.4242485277</v>
      </c>
      <c r="E47" s="1">
        <f>VLOOKUP(A47,'Special Edu'!$A$5:$Q$54,17,FALSE)</f>
        <v>940874.56203411694</v>
      </c>
      <c r="F47" s="1">
        <f>VLOOKUP(A47,DPIA!$A$5:$H$54,8,FALSE)</f>
        <v>433.92</v>
      </c>
      <c r="G47" s="1">
        <f>VLOOKUP(A47,EL!$A$5:$L$54,12,FALSE)</f>
        <v>1370.8869297548977</v>
      </c>
      <c r="H47" s="1">
        <f>VLOOKUP(A47,CTE!$A$5:$R$54,18,FALSE)</f>
        <v>1865140.9065150842</v>
      </c>
      <c r="I47" s="1">
        <f t="shared" si="0"/>
        <v>10290484.699727483</v>
      </c>
      <c r="J47" s="1">
        <v>7125441.75</v>
      </c>
      <c r="K47" s="1">
        <v>164943.38</v>
      </c>
      <c r="L47" s="1">
        <f t="shared" si="1"/>
        <v>7290385.1299999999</v>
      </c>
      <c r="M47" s="1">
        <v>558.24</v>
      </c>
      <c r="N47" s="1">
        <f t="shared" si="2"/>
        <v>7289826.8899999997</v>
      </c>
      <c r="O47" s="1">
        <f t="shared" si="3"/>
        <v>9290551.5131373126</v>
      </c>
      <c r="P47" s="1">
        <f t="shared" si="4"/>
        <v>0</v>
      </c>
      <c r="Q47" s="1">
        <v>7227084.0599999996</v>
      </c>
      <c r="R47" s="1">
        <v>133806.1</v>
      </c>
      <c r="S47" s="1">
        <f t="shared" si="5"/>
        <v>7360890.1599999992</v>
      </c>
      <c r="T47" s="1">
        <f t="shared" si="6"/>
        <v>0</v>
      </c>
      <c r="U47" s="1">
        <f t="shared" si="7"/>
        <v>9290551.5131373126</v>
      </c>
      <c r="V47" s="1"/>
      <c r="W47" s="1"/>
      <c r="X47" s="1"/>
    </row>
    <row r="48" spans="1:24" x14ac:dyDescent="0.25">
      <c r="A48" t="s">
        <v>187</v>
      </c>
      <c r="B48" t="s">
        <v>188</v>
      </c>
      <c r="C48" t="s">
        <v>244</v>
      </c>
      <c r="D48" s="1">
        <f>VLOOKUP(A48,'State Share Base Cost'!$A$3:$G$52,7,FALSE)</f>
        <v>11875073.145570688</v>
      </c>
      <c r="E48" s="1">
        <f>VLOOKUP(A48,'Special Edu'!$A$5:$Q$54,17,FALSE)</f>
        <v>1947823.3504812517</v>
      </c>
      <c r="F48" s="1">
        <f>VLOOKUP(A48,DPIA!$A$5:$H$54,8,FALSE)</f>
        <v>145888.18</v>
      </c>
      <c r="G48" s="1">
        <f>VLOOKUP(A48,EL!$A$5:$L$54,12,FALSE)</f>
        <v>5502.1000131639321</v>
      </c>
      <c r="H48" s="1">
        <f>VLOOKUP(A48,CTE!$A$5:$R$54,18,FALSE)</f>
        <v>4425313.5814597942</v>
      </c>
      <c r="I48" s="1">
        <f t="shared" si="0"/>
        <v>18399600.357524898</v>
      </c>
      <c r="J48" s="1">
        <v>10013461.960000001</v>
      </c>
      <c r="K48" s="1">
        <v>739075.25</v>
      </c>
      <c r="L48" s="1">
        <f t="shared" si="1"/>
        <v>10752537.210000001</v>
      </c>
      <c r="M48" s="1">
        <v>77656.12</v>
      </c>
      <c r="N48" s="1">
        <f t="shared" si="2"/>
        <v>10674881.090000002</v>
      </c>
      <c r="O48" s="1">
        <f t="shared" si="3"/>
        <v>15850834.210454848</v>
      </c>
      <c r="P48" s="1">
        <f t="shared" si="4"/>
        <v>0</v>
      </c>
      <c r="Q48" s="1">
        <v>10368243.220000001</v>
      </c>
      <c r="R48" s="1">
        <v>660145.27</v>
      </c>
      <c r="S48" s="1">
        <f t="shared" si="5"/>
        <v>11028388.49</v>
      </c>
      <c r="T48" s="1">
        <f t="shared" si="6"/>
        <v>0</v>
      </c>
      <c r="U48" s="1">
        <f t="shared" si="7"/>
        <v>15850834.210454848</v>
      </c>
      <c r="V48" s="1"/>
      <c r="W48" s="1"/>
      <c r="X48" s="1"/>
    </row>
    <row r="49" spans="1:24" x14ac:dyDescent="0.25">
      <c r="A49" t="s">
        <v>189</v>
      </c>
      <c r="B49" t="s">
        <v>190</v>
      </c>
      <c r="C49" t="s">
        <v>245</v>
      </c>
      <c r="D49" s="1">
        <f>VLOOKUP(A49,'State Share Base Cost'!$A$3:$G$52,7,FALSE)</f>
        <v>4648992.6926282868</v>
      </c>
      <c r="E49" s="1">
        <f>VLOOKUP(A49,'Special Edu'!$A$5:$Q$54,17,FALSE)</f>
        <v>648698.27999999991</v>
      </c>
      <c r="F49" s="1">
        <f>VLOOKUP(A49,DPIA!$A$5:$H$54,8,FALSE)</f>
        <v>119332.33</v>
      </c>
      <c r="G49" s="1">
        <f>VLOOKUP(A49,EL!$A$5:$L$54,12,FALSE)</f>
        <v>0</v>
      </c>
      <c r="H49" s="1">
        <f>VLOOKUP(A49,CTE!$A$5:$R$54,18,FALSE)</f>
        <v>1480333.8486981515</v>
      </c>
      <c r="I49" s="1">
        <f t="shared" si="0"/>
        <v>6897357.1513264384</v>
      </c>
      <c r="J49" s="1">
        <v>2545953.7599999998</v>
      </c>
      <c r="K49" s="1">
        <v>398380.68</v>
      </c>
      <c r="L49" s="1">
        <f t="shared" si="1"/>
        <v>2944334.44</v>
      </c>
      <c r="M49" s="1">
        <v>60585.27</v>
      </c>
      <c r="N49" s="1">
        <f t="shared" si="2"/>
        <v>2883749.17</v>
      </c>
      <c r="O49" s="1">
        <f t="shared" si="3"/>
        <v>5579814.6816413365</v>
      </c>
      <c r="P49" s="1">
        <f t="shared" si="4"/>
        <v>0</v>
      </c>
      <c r="Q49" s="1">
        <v>2625489.83</v>
      </c>
      <c r="R49" s="1">
        <v>458356.31</v>
      </c>
      <c r="S49" s="1">
        <f t="shared" si="5"/>
        <v>3083846.14</v>
      </c>
      <c r="T49" s="1">
        <f t="shared" si="6"/>
        <v>0</v>
      </c>
      <c r="U49" s="1">
        <f t="shared" si="7"/>
        <v>5579814.6816413365</v>
      </c>
      <c r="V49" s="1"/>
      <c r="W49" s="1"/>
      <c r="X49" s="1"/>
    </row>
    <row r="50" spans="1:24" x14ac:dyDescent="0.25">
      <c r="A50" t="s">
        <v>191</v>
      </c>
      <c r="B50" t="s">
        <v>192</v>
      </c>
      <c r="C50" t="s">
        <v>246</v>
      </c>
      <c r="D50" s="1">
        <f>VLOOKUP(A50,'State Share Base Cost'!$A$3:$G$52,7,FALSE)</f>
        <v>2899629.3476376468</v>
      </c>
      <c r="E50" s="1">
        <f>VLOOKUP(A50,'Special Edu'!$A$5:$Q$54,17,FALSE)</f>
        <v>281813.69</v>
      </c>
      <c r="F50" s="1">
        <f>VLOOKUP(A50,DPIA!$A$5:$H$54,8,FALSE)</f>
        <v>34319.82</v>
      </c>
      <c r="G50" s="1">
        <f>VLOOKUP(A50,EL!$A$5:$L$54,12,FALSE)</f>
        <v>312.60645957567749</v>
      </c>
      <c r="H50" s="1">
        <f>VLOOKUP(A50,CTE!$A$5:$R$54,18,FALSE)</f>
        <v>1186360.2024027656</v>
      </c>
      <c r="I50" s="1">
        <f t="shared" si="0"/>
        <v>4402435.6664999882</v>
      </c>
      <c r="J50" s="1">
        <v>2130163.17</v>
      </c>
      <c r="K50" s="1">
        <v>552270.32999999996</v>
      </c>
      <c r="L50" s="1">
        <f t="shared" si="1"/>
        <v>2682433.5</v>
      </c>
      <c r="M50" s="1">
        <v>14552.33</v>
      </c>
      <c r="N50" s="1">
        <f t="shared" si="2"/>
        <v>2667881.17</v>
      </c>
      <c r="O50" s="1">
        <f t="shared" si="3"/>
        <v>3829158.9444055418</v>
      </c>
      <c r="P50" s="1">
        <f t="shared" si="4"/>
        <v>0</v>
      </c>
      <c r="Q50" s="1">
        <v>2189454.96</v>
      </c>
      <c r="R50" s="1">
        <v>490769.24</v>
      </c>
      <c r="S50" s="1">
        <f t="shared" si="5"/>
        <v>2680224.2000000002</v>
      </c>
      <c r="T50" s="1">
        <f t="shared" si="6"/>
        <v>0</v>
      </c>
      <c r="U50" s="1">
        <f t="shared" si="7"/>
        <v>3829158.9444055418</v>
      </c>
      <c r="V50" s="1"/>
      <c r="W50" s="1"/>
      <c r="X50" s="1"/>
    </row>
    <row r="51" spans="1:24" x14ac:dyDescent="0.25">
      <c r="A51" t="s">
        <v>193</v>
      </c>
      <c r="B51" t="s">
        <v>194</v>
      </c>
      <c r="C51" t="s">
        <v>247</v>
      </c>
      <c r="D51" s="1">
        <f>VLOOKUP(A51,'State Share Base Cost'!$A$3:$G$52,7,FALSE)</f>
        <v>3729338.5319140982</v>
      </c>
      <c r="E51" s="1">
        <f>VLOOKUP(A51,'Special Edu'!$A$5:$Q$54,17,FALSE)</f>
        <v>746285.36074112693</v>
      </c>
      <c r="F51" s="1">
        <f>VLOOKUP(A51,DPIA!$A$5:$H$54,8,FALSE)</f>
        <v>29794.51</v>
      </c>
      <c r="G51" s="1">
        <f>VLOOKUP(A51,EL!$A$5:$L$54,12,FALSE)</f>
        <v>24974.19639794101</v>
      </c>
      <c r="H51" s="1">
        <f>VLOOKUP(A51,CTE!$A$5:$R$54,18,FALSE)</f>
        <v>1573755.4540195384</v>
      </c>
      <c r="I51" s="1">
        <f t="shared" si="0"/>
        <v>6104148.053072704</v>
      </c>
      <c r="J51" s="1">
        <v>1788468.91</v>
      </c>
      <c r="K51" s="1">
        <v>107129.43</v>
      </c>
      <c r="L51" s="1">
        <f t="shared" si="1"/>
        <v>1895598.3399999999</v>
      </c>
      <c r="M51" s="1">
        <v>17506.87</v>
      </c>
      <c r="N51" s="1">
        <f t="shared" si="2"/>
        <v>1878091.4699999997</v>
      </c>
      <c r="O51" s="1">
        <f t="shared" si="3"/>
        <v>4701438.433705572</v>
      </c>
      <c r="P51" s="1">
        <f t="shared" si="4"/>
        <v>0</v>
      </c>
      <c r="Q51" s="1">
        <v>1876688.29</v>
      </c>
      <c r="R51" s="1">
        <v>161933.65</v>
      </c>
      <c r="S51" s="1">
        <f t="shared" si="5"/>
        <v>2038621.94</v>
      </c>
      <c r="T51" s="1">
        <f t="shared" si="6"/>
        <v>0</v>
      </c>
      <c r="U51" s="1">
        <f t="shared" si="7"/>
        <v>4701438.433705572</v>
      </c>
      <c r="V51" s="1"/>
      <c r="W51" s="1"/>
      <c r="X51" s="1"/>
    </row>
    <row r="52" spans="1:24" x14ac:dyDescent="0.25">
      <c r="A52" t="s">
        <v>195</v>
      </c>
      <c r="B52" t="s">
        <v>196</v>
      </c>
      <c r="C52" t="s">
        <v>248</v>
      </c>
      <c r="D52" s="1">
        <f>VLOOKUP(A52,'State Share Base Cost'!$A$3:$G$52,7,FALSE)</f>
        <v>2901874.5445085778</v>
      </c>
      <c r="E52" s="1">
        <f>VLOOKUP(A52,'Special Edu'!$A$5:$Q$54,17,FALSE)</f>
        <v>369816.00416443555</v>
      </c>
      <c r="F52" s="1">
        <f>VLOOKUP(A52,DPIA!$A$5:$H$54,8,FALSE)</f>
        <v>138732.47</v>
      </c>
      <c r="G52" s="1">
        <f>VLOOKUP(A52,EL!$A$5:$L$54,12,FALSE)</f>
        <v>0</v>
      </c>
      <c r="H52" s="1">
        <f>VLOOKUP(A52,CTE!$A$5:$R$54,18,FALSE)</f>
        <v>764796.38912671327</v>
      </c>
      <c r="I52" s="1">
        <f t="shared" si="0"/>
        <v>4175219.4077997268</v>
      </c>
      <c r="J52" s="1">
        <v>1837507.02</v>
      </c>
      <c r="K52" s="1">
        <v>17701.96</v>
      </c>
      <c r="L52" s="1">
        <f t="shared" si="1"/>
        <v>1855208.98</v>
      </c>
      <c r="M52" s="1">
        <v>65252.56</v>
      </c>
      <c r="N52" s="1">
        <f t="shared" si="2"/>
        <v>1789956.42</v>
      </c>
      <c r="O52" s="1">
        <f t="shared" si="3"/>
        <v>3401959.9322140776</v>
      </c>
      <c r="P52" s="1">
        <f t="shared" si="4"/>
        <v>0</v>
      </c>
      <c r="Q52" s="1">
        <v>1932009.58</v>
      </c>
      <c r="R52" s="1">
        <v>33105.17</v>
      </c>
      <c r="S52" s="1">
        <f t="shared" si="5"/>
        <v>1965114.75</v>
      </c>
      <c r="T52" s="1">
        <f t="shared" si="6"/>
        <v>0</v>
      </c>
      <c r="U52" s="1">
        <f t="shared" si="7"/>
        <v>3401959.9322140776</v>
      </c>
      <c r="V52" s="1"/>
      <c r="W52" s="1"/>
      <c r="X52" s="1"/>
    </row>
    <row r="53" spans="1:24" x14ac:dyDescent="0.25">
      <c r="A53" t="s">
        <v>197</v>
      </c>
      <c r="B53" t="s">
        <v>198</v>
      </c>
      <c r="C53" t="s">
        <v>249</v>
      </c>
      <c r="D53" s="1">
        <f>VLOOKUP(A53,'State Share Base Cost'!$A$3:$G$52,7,FALSE)</f>
        <v>4931739.220002464</v>
      </c>
      <c r="E53" s="1">
        <f>VLOOKUP(A53,'Special Edu'!$A$5:$Q$54,17,FALSE)</f>
        <v>844564.69000000006</v>
      </c>
      <c r="F53" s="1">
        <f>VLOOKUP(A53,DPIA!$A$5:$H$54,8,FALSE)</f>
        <v>206258.51</v>
      </c>
      <c r="G53" s="1">
        <f>VLOOKUP(A53,EL!$A$5:$L$54,12,FALSE)</f>
        <v>0</v>
      </c>
      <c r="H53" s="1">
        <f>VLOOKUP(A53,CTE!$A$5:$R$54,18,FALSE)</f>
        <v>1708391.8914365058</v>
      </c>
      <c r="I53" s="1">
        <f t="shared" si="0"/>
        <v>7690954.3114389703</v>
      </c>
      <c r="J53" s="1">
        <v>5720216.25</v>
      </c>
      <c r="K53" s="1">
        <v>63193.66</v>
      </c>
      <c r="L53" s="1">
        <f t="shared" si="1"/>
        <v>5783409.9100000001</v>
      </c>
      <c r="M53" s="1">
        <v>76608.95</v>
      </c>
      <c r="N53" s="1">
        <f t="shared" si="2"/>
        <v>5706800.96</v>
      </c>
      <c r="O53" s="1">
        <f t="shared" si="3"/>
        <v>7055169.7624393618</v>
      </c>
      <c r="P53" s="1">
        <f t="shared" si="4"/>
        <v>0</v>
      </c>
      <c r="Q53" s="1">
        <v>5874298.4500000002</v>
      </c>
      <c r="R53" s="1">
        <v>163852.92000000001</v>
      </c>
      <c r="S53" s="1">
        <f t="shared" si="5"/>
        <v>6038151.3700000001</v>
      </c>
      <c r="T53" s="1">
        <f t="shared" si="6"/>
        <v>0</v>
      </c>
      <c r="U53" s="1">
        <f t="shared" si="7"/>
        <v>7055169.7624393618</v>
      </c>
      <c r="V53" s="1"/>
      <c r="W53" s="1"/>
      <c r="X53" s="1"/>
    </row>
    <row r="54" spans="1:24" x14ac:dyDescent="0.25">
      <c r="A54" s="135" t="s">
        <v>914</v>
      </c>
      <c r="B54" t="s">
        <v>250</v>
      </c>
      <c r="C54" t="s">
        <v>317</v>
      </c>
      <c r="D54" s="1">
        <f>SUM(D5:D53)</f>
        <v>361987870.77417874</v>
      </c>
      <c r="E54" s="1">
        <f t="shared" ref="E54:O54" si="8">SUM(E5:E53)</f>
        <v>57439692.06995213</v>
      </c>
      <c r="F54" s="1">
        <f t="shared" si="8"/>
        <v>12995815.060000001</v>
      </c>
      <c r="G54" s="1">
        <f t="shared" si="8"/>
        <v>421419.40042697708</v>
      </c>
      <c r="H54" s="1">
        <f t="shared" si="8"/>
        <v>135188616.0602054</v>
      </c>
      <c r="I54" s="1">
        <f t="shared" si="8"/>
        <v>568033413.36476314</v>
      </c>
      <c r="J54" s="1">
        <f t="shared" ref="J54" si="9">SUM(J5:J53)</f>
        <v>307319875.71000004</v>
      </c>
      <c r="K54" s="1">
        <f t="shared" ref="K54" si="10">SUM(K5:K53)</f>
        <v>16258622.650000002</v>
      </c>
      <c r="L54" s="1">
        <f t="shared" ref="L54" si="11">SUM(L5:L53)</f>
        <v>323578498.36000001</v>
      </c>
      <c r="M54" s="1">
        <f t="shared" ref="M54" si="12">SUM(M5:M53)</f>
        <v>6278621.8099999987</v>
      </c>
      <c r="N54" s="1">
        <f t="shared" si="8"/>
        <v>317299876.55000001</v>
      </c>
      <c r="O54" s="1">
        <f t="shared" si="8"/>
        <v>486556590.19367576</v>
      </c>
      <c r="P54" s="1">
        <f t="shared" ref="P54" si="13">SUM(P5:P53)</f>
        <v>0</v>
      </c>
      <c r="Q54" s="1">
        <f t="shared" ref="Q54" si="14">SUM(Q5:Q53)</f>
        <v>318341124.86999995</v>
      </c>
      <c r="R54" s="1">
        <f t="shared" ref="R54:U54" si="15">SUM(R5:R53)</f>
        <v>16945875.840000004</v>
      </c>
      <c r="S54" s="1">
        <f t="shared" si="15"/>
        <v>335287000.70999998</v>
      </c>
      <c r="T54" s="1">
        <f t="shared" si="15"/>
        <v>36230.133936249651</v>
      </c>
      <c r="U54" s="1">
        <f t="shared" si="15"/>
        <v>486592820.32761198</v>
      </c>
      <c r="V54" s="1"/>
      <c r="W54" s="1"/>
      <c r="X54" s="1"/>
    </row>
    <row r="55" spans="1:24" x14ac:dyDescent="0.25">
      <c r="T55" s="1"/>
    </row>
    <row r="57" spans="1:24" x14ac:dyDescent="0.25">
      <c r="J57" s="1"/>
    </row>
    <row r="58" spans="1:24" x14ac:dyDescent="0.25">
      <c r="U58" s="68">
        <v>372685042.91000003</v>
      </c>
    </row>
    <row r="59" spans="1:24" x14ac:dyDescent="0.25">
      <c r="J59" s="1"/>
    </row>
    <row r="60" spans="1:24" x14ac:dyDescent="0.25">
      <c r="U60" s="80">
        <f>U54-U58</f>
        <v>113907777.41761196</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3D63E-A714-4F5F-86F6-66FEFA36EDDE}">
  <dimension ref="A1:R59"/>
  <sheetViews>
    <sheetView workbookViewId="0">
      <pane xSplit="3" ySplit="4" topLeftCell="D47" activePane="bottomRight" state="frozen"/>
      <selection pane="topRight" activeCell="D1" sqref="D1"/>
      <selection pane="bottomLeft" activeCell="A3" sqref="A3"/>
      <selection pane="bottomRight" activeCell="H57" sqref="H57"/>
    </sheetView>
  </sheetViews>
  <sheetFormatPr defaultRowHeight="15" x14ac:dyDescent="0.25"/>
  <cols>
    <col min="1" max="1" width="7.5703125" bestFit="1" customWidth="1"/>
    <col min="2" max="2" width="46" bestFit="1" customWidth="1"/>
    <col min="3" max="3" width="13.140625" bestFit="1" customWidth="1"/>
    <col min="4" max="4" width="13.140625" customWidth="1"/>
    <col min="5" max="10" width="11.7109375" bestFit="1" customWidth="1"/>
    <col min="11" max="11" width="11.85546875" bestFit="1" customWidth="1"/>
    <col min="12" max="12" width="14.28515625" bestFit="1" customWidth="1"/>
    <col min="13" max="13" width="11.7109375" bestFit="1" customWidth="1"/>
    <col min="14" max="14" width="12.5703125" bestFit="1" customWidth="1"/>
    <col min="15" max="15" width="11.7109375" bestFit="1" customWidth="1"/>
    <col min="16" max="16" width="12.7109375" bestFit="1" customWidth="1"/>
    <col min="17" max="17" width="12.85546875" customWidth="1"/>
  </cols>
  <sheetData>
    <row r="1" spans="1:18" x14ac:dyDescent="0.25">
      <c r="B1" s="16"/>
      <c r="C1" s="9"/>
      <c r="D1" s="9"/>
      <c r="F1" s="18" t="s">
        <v>384</v>
      </c>
      <c r="G1" s="18"/>
      <c r="H1" s="18"/>
      <c r="I1" s="107">
        <f>'Detailed SFPR'!L11</f>
        <v>8241.61</v>
      </c>
      <c r="K1" t="s">
        <v>385</v>
      </c>
      <c r="L1" t="s">
        <v>386</v>
      </c>
      <c r="M1" t="s">
        <v>387</v>
      </c>
      <c r="N1" t="s">
        <v>388</v>
      </c>
      <c r="O1" t="s">
        <v>389</v>
      </c>
      <c r="P1" t="s">
        <v>390</v>
      </c>
    </row>
    <row r="2" spans="1:18" x14ac:dyDescent="0.25">
      <c r="K2">
        <v>0.24349999999999999</v>
      </c>
      <c r="L2">
        <v>0.6179</v>
      </c>
      <c r="M2">
        <v>1.4844999999999999</v>
      </c>
      <c r="N2">
        <v>1.9812000000000001</v>
      </c>
      <c r="O2">
        <v>2.6829999999999998</v>
      </c>
      <c r="P2">
        <v>3.9554</v>
      </c>
    </row>
    <row r="3" spans="1:18" x14ac:dyDescent="0.25">
      <c r="A3" s="36"/>
      <c r="B3" s="36">
        <v>2</v>
      </c>
      <c r="C3" s="36">
        <v>3</v>
      </c>
      <c r="D3" s="36">
        <v>4</v>
      </c>
      <c r="E3" s="36">
        <v>5</v>
      </c>
      <c r="F3" s="36">
        <v>6</v>
      </c>
      <c r="G3" s="36">
        <v>7</v>
      </c>
      <c r="H3" s="36">
        <v>8</v>
      </c>
      <c r="I3" s="36">
        <v>9</v>
      </c>
      <c r="J3" s="36">
        <v>10</v>
      </c>
      <c r="K3" s="36">
        <v>11</v>
      </c>
      <c r="L3" s="36">
        <v>12</v>
      </c>
      <c r="M3" s="36">
        <v>13</v>
      </c>
      <c r="N3" s="36">
        <v>14</v>
      </c>
      <c r="O3" s="36">
        <v>15</v>
      </c>
      <c r="P3" s="36">
        <v>16</v>
      </c>
      <c r="Q3" s="36">
        <v>17</v>
      </c>
      <c r="R3" s="36">
        <v>18</v>
      </c>
    </row>
    <row r="4" spans="1:18" s="4" customFormat="1" ht="60" x14ac:dyDescent="0.25">
      <c r="A4" s="4" t="s">
        <v>93</v>
      </c>
      <c r="B4" s="3" t="s">
        <v>940</v>
      </c>
      <c r="C4" s="4" t="s">
        <v>95</v>
      </c>
      <c r="D4" s="3" t="s">
        <v>391</v>
      </c>
      <c r="E4" s="3" t="s">
        <v>392</v>
      </c>
      <c r="F4" s="3" t="s">
        <v>393</v>
      </c>
      <c r="G4" s="3" t="s">
        <v>394</v>
      </c>
      <c r="H4" s="3" t="s">
        <v>395</v>
      </c>
      <c r="I4" s="3" t="s">
        <v>396</v>
      </c>
      <c r="J4" s="3" t="s">
        <v>397</v>
      </c>
      <c r="K4" s="3" t="s">
        <v>398</v>
      </c>
      <c r="L4" s="3" t="s">
        <v>399</v>
      </c>
      <c r="M4" s="3" t="s">
        <v>400</v>
      </c>
      <c r="N4" s="3" t="s">
        <v>401</v>
      </c>
      <c r="O4" s="3" t="s">
        <v>402</v>
      </c>
      <c r="P4" s="3" t="s">
        <v>403</v>
      </c>
      <c r="Q4" s="3" t="s">
        <v>404</v>
      </c>
      <c r="R4" s="3" t="s">
        <v>405</v>
      </c>
    </row>
    <row r="5" spans="1:18" x14ac:dyDescent="0.25">
      <c r="A5" t="s">
        <v>101</v>
      </c>
      <c r="B5" t="s">
        <v>102</v>
      </c>
      <c r="C5" t="s">
        <v>202</v>
      </c>
      <c r="D5" s="15">
        <f>VLOOKUP(A5,'State Share Base Cost'!$A$3:$H$52,8,FALSE)</f>
        <v>0.85580112399999997</v>
      </c>
      <c r="E5" s="17">
        <f>VLOOKUP(A5,'ADM Data'!$A$2:$E$52,5,FALSE)</f>
        <v>0</v>
      </c>
      <c r="F5" s="17">
        <f>VLOOKUP(A5,'ADM Data'!$A$2:$J$52,6,FALSE)</f>
        <v>152.59335799999999</v>
      </c>
      <c r="G5" s="17">
        <f>VLOOKUP(A5,'ADM Data'!$A$2:$J$52,7,FALSE)</f>
        <v>6.4986069999999998</v>
      </c>
      <c r="H5" s="17">
        <f>VLOOKUP(A5,'ADM Data'!$A$2:$J$52,8,FALSE)</f>
        <v>1</v>
      </c>
      <c r="I5" s="17">
        <f>VLOOKUP(A5,'ADM Data'!$A$2:$J$52,9,FALSE)</f>
        <v>2.42</v>
      </c>
      <c r="J5" s="17">
        <f>VLOOKUP(A5,'ADM Data'!$A$2:$J$52,10,FALSE)</f>
        <v>16.889258999999999</v>
      </c>
      <c r="K5" s="1">
        <f>ROUND((E5*$K$2*$I$1*D5),2)</f>
        <v>0</v>
      </c>
      <c r="L5" s="1">
        <f>ROUND(F5*$L$2*$I$1*D5,2)</f>
        <v>665026.17000000004</v>
      </c>
      <c r="M5" s="1">
        <f>ROUND(G5*$I$1*$M$2*D5,2)</f>
        <v>68043.3</v>
      </c>
      <c r="N5" s="1">
        <f>H5*$I$1*$N$2*D5</f>
        <v>13973.758436029771</v>
      </c>
      <c r="O5" s="1">
        <f>ROUND(I5*$O$2*$I$1*D5,2)</f>
        <v>45795.3</v>
      </c>
      <c r="P5" s="1">
        <f>ROUND(J5*$P$2*$I$1*D5,2)</f>
        <v>471178.99</v>
      </c>
      <c r="Q5" s="1">
        <f>K5+L5+M5+N5+O5+P5</f>
        <v>1264017.51843603</v>
      </c>
      <c r="R5" s="17">
        <f>E5+F5+G5+H5+I5+J5</f>
        <v>179.40122399999998</v>
      </c>
    </row>
    <row r="6" spans="1:18" x14ac:dyDescent="0.25">
      <c r="A6" t="s">
        <v>103</v>
      </c>
      <c r="B6" t="s">
        <v>104</v>
      </c>
      <c r="C6" t="s">
        <v>203</v>
      </c>
      <c r="D6" s="15">
        <f>VLOOKUP(A6,'State Share Base Cost'!$A$3:$H$52,8,FALSE)</f>
        <v>0.90951470899999998</v>
      </c>
      <c r="E6" s="17">
        <f>VLOOKUP(A6,'ADM Data'!$A$2:$E$52,5,FALSE)</f>
        <v>0.84</v>
      </c>
      <c r="F6" s="17">
        <f>VLOOKUP(A6,'ADM Data'!$A$2:$J$52,6,FALSE)</f>
        <v>96.612369999999999</v>
      </c>
      <c r="G6" s="17">
        <f>VLOOKUP(A6,'ADM Data'!$A$2:$J$52,7,FALSE)</f>
        <v>2.795588</v>
      </c>
      <c r="H6" s="17">
        <f>VLOOKUP(A6,'ADM Data'!$A$2:$J$52,8,FALSE)</f>
        <v>0.86</v>
      </c>
      <c r="I6" s="17">
        <f>VLOOKUP(A6,'ADM Data'!$A$2:$J$52,9,FALSE)</f>
        <v>2.2799999999999998</v>
      </c>
      <c r="J6" s="17">
        <f>VLOOKUP(A6,'ADM Data'!$A$2:$J$52,10,FALSE)</f>
        <v>7.7081359999999997</v>
      </c>
      <c r="K6" s="1">
        <f t="shared" ref="K6:K53" si="0">ROUND((E6*$K$2*$I$1*D6),2)</f>
        <v>1533.2</v>
      </c>
      <c r="L6" s="1">
        <f t="shared" ref="L6:L53" si="1">ROUND(F6*$L$2*$I$1*D6,2)</f>
        <v>447479.06</v>
      </c>
      <c r="M6" s="1">
        <f t="shared" ref="M6:M53" si="2">ROUND(G6*$I$1*$M$2*D6,2)</f>
        <v>31108.22</v>
      </c>
      <c r="N6" s="1">
        <f t="shared" ref="N6:N53" si="3">H6*$I$1*$N$2*D6</f>
        <v>12771.695542106398</v>
      </c>
      <c r="O6" s="1">
        <f t="shared" ref="O6:O53" si="4">ROUND(I6*$O$2*$I$1*D6,2)</f>
        <v>45854.01</v>
      </c>
      <c r="P6" s="1">
        <f t="shared" ref="P6:P53" si="5">ROUND(J6*$P$2*$I$1*D6,2)</f>
        <v>228539.65</v>
      </c>
      <c r="Q6" s="1">
        <f t="shared" ref="Q6:Q53" si="6">K6+L6+M6+N6+O6+P6</f>
        <v>767285.83554210642</v>
      </c>
      <c r="R6" s="17">
        <f t="shared" ref="R6:R53" si="7">E6+F6+G6+H6+I6+J6</f>
        <v>111.09609399999999</v>
      </c>
    </row>
    <row r="7" spans="1:18" x14ac:dyDescent="0.25">
      <c r="A7" t="s">
        <v>105</v>
      </c>
      <c r="B7" t="s">
        <v>106</v>
      </c>
      <c r="C7" t="s">
        <v>204</v>
      </c>
      <c r="D7" s="15">
        <f>VLOOKUP(A7,'State Share Base Cost'!$A$3:$H$52,8,FALSE)</f>
        <v>0.84198645500000002</v>
      </c>
      <c r="E7" s="17">
        <f>VLOOKUP(A7,'ADM Data'!$A$2:$E$52,5,FALSE)</f>
        <v>4.4516E-2</v>
      </c>
      <c r="F7" s="17">
        <f>VLOOKUP(A7,'ADM Data'!$A$2:$J$52,6,FALSE)</f>
        <v>131.73708400000001</v>
      </c>
      <c r="G7" s="17">
        <f>VLOOKUP(A7,'ADM Data'!$A$2:$J$52,7,FALSE)</f>
        <v>17.773965</v>
      </c>
      <c r="H7" s="17">
        <f>VLOOKUP(A7,'ADM Data'!$A$2:$J$52,8,FALSE)</f>
        <v>0</v>
      </c>
      <c r="I7" s="17">
        <f>VLOOKUP(A7,'ADM Data'!$A$2:$J$52,9,FALSE)</f>
        <v>1.2032369999999999</v>
      </c>
      <c r="J7" s="17">
        <f>VLOOKUP(A7,'ADM Data'!$A$2:$J$52,10,FALSE)</f>
        <v>22.177735999999999</v>
      </c>
      <c r="K7" s="1">
        <f t="shared" si="0"/>
        <v>75.22</v>
      </c>
      <c r="L7" s="1">
        <f t="shared" si="1"/>
        <v>564863.36</v>
      </c>
      <c r="M7" s="1">
        <f t="shared" si="2"/>
        <v>183097.19</v>
      </c>
      <c r="N7" s="1">
        <f t="shared" si="3"/>
        <v>0</v>
      </c>
      <c r="O7" s="1">
        <f t="shared" si="4"/>
        <v>22402.11</v>
      </c>
      <c r="P7" s="1">
        <f t="shared" si="5"/>
        <v>608730.11</v>
      </c>
      <c r="Q7" s="1">
        <f t="shared" si="6"/>
        <v>1379167.99</v>
      </c>
      <c r="R7" s="17">
        <f t="shared" si="7"/>
        <v>172.93653800000001</v>
      </c>
    </row>
    <row r="8" spans="1:18" x14ac:dyDescent="0.25">
      <c r="A8" t="s">
        <v>107</v>
      </c>
      <c r="B8" t="s">
        <v>108</v>
      </c>
      <c r="C8" t="s">
        <v>205</v>
      </c>
      <c r="D8" s="15">
        <f>VLOOKUP(A8,'State Share Base Cost'!$A$3:$H$52,8,FALSE)</f>
        <v>0.73185130700000001</v>
      </c>
      <c r="E8" s="17">
        <f>VLOOKUP(A8,'ADM Data'!$A$2:$E$52,5,FALSE)</f>
        <v>0.159191</v>
      </c>
      <c r="F8" s="17">
        <f>VLOOKUP(A8,'ADM Data'!$A$2:$J$52,6,FALSE)</f>
        <v>136.17039199999999</v>
      </c>
      <c r="G8" s="17">
        <f>VLOOKUP(A8,'ADM Data'!$A$2:$J$52,7,FALSE)</f>
        <v>3.5150169999999998</v>
      </c>
      <c r="H8" s="17">
        <f>VLOOKUP(A8,'ADM Data'!$A$2:$J$52,8,FALSE)</f>
        <v>0</v>
      </c>
      <c r="I8" s="17">
        <f>VLOOKUP(A8,'ADM Data'!$A$2:$J$52,9,FALSE)</f>
        <v>2.0291920000000001</v>
      </c>
      <c r="J8" s="17">
        <f>VLOOKUP(A8,'ADM Data'!$A$2:$J$52,10,FALSE)</f>
        <v>5.0494240000000001</v>
      </c>
      <c r="K8" s="1">
        <f t="shared" si="0"/>
        <v>233.8</v>
      </c>
      <c r="L8" s="1">
        <f t="shared" si="1"/>
        <v>507499.71</v>
      </c>
      <c r="M8" s="1">
        <f t="shared" si="2"/>
        <v>31473.32</v>
      </c>
      <c r="N8" s="1">
        <f t="shared" si="3"/>
        <v>0</v>
      </c>
      <c r="O8" s="1">
        <f t="shared" si="4"/>
        <v>32838.15</v>
      </c>
      <c r="P8" s="1">
        <f t="shared" si="5"/>
        <v>120466.74</v>
      </c>
      <c r="Q8" s="1">
        <f t="shared" si="6"/>
        <v>692511.72</v>
      </c>
      <c r="R8" s="17">
        <f t="shared" si="7"/>
        <v>146.92321599999997</v>
      </c>
    </row>
    <row r="9" spans="1:18" x14ac:dyDescent="0.25">
      <c r="A9" t="s">
        <v>109</v>
      </c>
      <c r="B9" t="s">
        <v>110</v>
      </c>
      <c r="C9" t="s">
        <v>206</v>
      </c>
      <c r="D9" s="15">
        <f>VLOOKUP(A9,'State Share Base Cost'!$A$3:$H$52,8,FALSE)</f>
        <v>0.82125809299999997</v>
      </c>
      <c r="E9" s="17">
        <f>VLOOKUP(A9,'ADM Data'!$A$2:$E$52,5,FALSE)</f>
        <v>5.367057</v>
      </c>
      <c r="F9" s="17">
        <f>VLOOKUP(A9,'ADM Data'!$A$2:$J$52,6,FALSE)</f>
        <v>416.66981299999998</v>
      </c>
      <c r="G9" s="17">
        <f>VLOOKUP(A9,'ADM Data'!$A$2:$J$52,7,FALSE)</f>
        <v>17.745891</v>
      </c>
      <c r="H9" s="17">
        <f>VLOOKUP(A9,'ADM Data'!$A$2:$J$52,8,FALSE)</f>
        <v>1.4258409999999999</v>
      </c>
      <c r="I9" s="17">
        <f>VLOOKUP(A9,'ADM Data'!$A$2:$J$52,9,FALSE)</f>
        <v>21.955962</v>
      </c>
      <c r="J9" s="17">
        <f>VLOOKUP(A9,'ADM Data'!$A$2:$J$52,10,FALSE)</f>
        <v>60.115752999999998</v>
      </c>
      <c r="K9" s="1">
        <f t="shared" si="0"/>
        <v>8845.59</v>
      </c>
      <c r="L9" s="1">
        <f t="shared" si="1"/>
        <v>1742617.03</v>
      </c>
      <c r="M9" s="1">
        <f t="shared" si="2"/>
        <v>178307.55</v>
      </c>
      <c r="N9" s="1">
        <f t="shared" si="3"/>
        <v>19120.14316394852</v>
      </c>
      <c r="O9" s="1">
        <f t="shared" si="4"/>
        <v>398717.1</v>
      </c>
      <c r="P9" s="1">
        <f t="shared" si="5"/>
        <v>1609423.81</v>
      </c>
      <c r="Q9" s="1">
        <f t="shared" si="6"/>
        <v>3957031.2231639489</v>
      </c>
      <c r="R9" s="17">
        <f t="shared" si="7"/>
        <v>523.28031699999997</v>
      </c>
    </row>
    <row r="10" spans="1:18" x14ac:dyDescent="0.25">
      <c r="A10" t="s">
        <v>111</v>
      </c>
      <c r="B10" t="s">
        <v>112</v>
      </c>
      <c r="C10" t="s">
        <v>207</v>
      </c>
      <c r="D10" s="15">
        <f>VLOOKUP(A10,'State Share Base Cost'!$A$3:$H$52,8,FALSE)</f>
        <v>0.77544779200000002</v>
      </c>
      <c r="E10" s="17">
        <f>VLOOKUP(A10,'ADM Data'!$A$2:$E$52,5,FALSE)</f>
        <v>0</v>
      </c>
      <c r="F10" s="17">
        <f>VLOOKUP(A10,'ADM Data'!$A$2:$J$52,6,FALSE)</f>
        <v>45.866478000000001</v>
      </c>
      <c r="G10" s="17">
        <f>VLOOKUP(A10,'ADM Data'!$A$2:$J$52,7,FALSE)</f>
        <v>2.1903410000000001</v>
      </c>
      <c r="H10" s="17">
        <f>VLOOKUP(A10,'ADM Data'!$A$2:$J$52,8,FALSE)</f>
        <v>0</v>
      </c>
      <c r="I10" s="17">
        <f>VLOOKUP(A10,'ADM Data'!$A$2:$J$52,9,FALSE)</f>
        <v>1.5</v>
      </c>
      <c r="J10" s="17">
        <f>VLOOKUP(A10,'ADM Data'!$A$2:$J$52,10,FALSE)</f>
        <v>4.5</v>
      </c>
      <c r="K10" s="1">
        <f t="shared" si="0"/>
        <v>0</v>
      </c>
      <c r="L10" s="1">
        <f t="shared" si="1"/>
        <v>181124.92</v>
      </c>
      <c r="M10" s="1">
        <f t="shared" si="2"/>
        <v>20780.53</v>
      </c>
      <c r="N10" s="1">
        <f t="shared" si="3"/>
        <v>0</v>
      </c>
      <c r="O10" s="1">
        <f t="shared" si="4"/>
        <v>25720.33</v>
      </c>
      <c r="P10" s="1">
        <f t="shared" si="5"/>
        <v>113754.23</v>
      </c>
      <c r="Q10" s="1">
        <f t="shared" si="6"/>
        <v>341380.01</v>
      </c>
      <c r="R10" s="17">
        <f t="shared" si="7"/>
        <v>54.056819000000004</v>
      </c>
    </row>
    <row r="11" spans="1:18" x14ac:dyDescent="0.25">
      <c r="A11" t="s">
        <v>113</v>
      </c>
      <c r="B11" t="s">
        <v>114</v>
      </c>
      <c r="C11" t="s">
        <v>208</v>
      </c>
      <c r="D11" s="15">
        <f>VLOOKUP(A11,'State Share Base Cost'!$A$3:$H$52,8,FALSE)</f>
        <v>0.21452795799999999</v>
      </c>
      <c r="E11" s="17">
        <f>VLOOKUP(A11,'ADM Data'!$A$2:$E$52,5,FALSE)</f>
        <v>1</v>
      </c>
      <c r="F11" s="17">
        <f>VLOOKUP(A11,'ADM Data'!$A$2:$J$52,6,FALSE)</f>
        <v>66.439958000000004</v>
      </c>
      <c r="G11" s="17">
        <f>VLOOKUP(A11,'ADM Data'!$A$2:$J$52,7,FALSE)</f>
        <v>4.4579360000000001</v>
      </c>
      <c r="H11" s="17">
        <f>VLOOKUP(A11,'ADM Data'!$A$2:$J$52,8,FALSE)</f>
        <v>0</v>
      </c>
      <c r="I11" s="17">
        <f>VLOOKUP(A11,'ADM Data'!$A$2:$J$52,9,FALSE)</f>
        <v>2.5</v>
      </c>
      <c r="J11" s="17">
        <f>VLOOKUP(A11,'ADM Data'!$A$2:$J$52,10,FALSE)</f>
        <v>6.2289680000000001</v>
      </c>
      <c r="K11" s="1">
        <f t="shared" si="0"/>
        <v>430.52</v>
      </c>
      <c r="L11" s="1">
        <f t="shared" si="1"/>
        <v>72584.44</v>
      </c>
      <c r="M11" s="1">
        <f t="shared" si="2"/>
        <v>11700.65</v>
      </c>
      <c r="N11" s="1">
        <f t="shared" si="3"/>
        <v>0</v>
      </c>
      <c r="O11" s="1">
        <f t="shared" si="4"/>
        <v>11859.23</v>
      </c>
      <c r="P11" s="1">
        <f t="shared" si="5"/>
        <v>43561.46</v>
      </c>
      <c r="Q11" s="1">
        <f t="shared" si="6"/>
        <v>140136.29999999999</v>
      </c>
      <c r="R11" s="17">
        <f t="shared" si="7"/>
        <v>80.626862000000003</v>
      </c>
    </row>
    <row r="12" spans="1:18" x14ac:dyDescent="0.25">
      <c r="A12" t="s">
        <v>115</v>
      </c>
      <c r="B12" t="s">
        <v>116</v>
      </c>
      <c r="C12" t="s">
        <v>208</v>
      </c>
      <c r="D12" s="15">
        <f>VLOOKUP(A12,'State Share Base Cost'!$A$3:$H$52,8,FALSE)</f>
        <v>0.55386008499999995</v>
      </c>
      <c r="E12" s="17">
        <f>VLOOKUP(A12,'ADM Data'!$A$2:$E$52,5,FALSE)</f>
        <v>0</v>
      </c>
      <c r="F12" s="17">
        <f>VLOOKUP(A12,'ADM Data'!$A$2:$J$52,6,FALSE)</f>
        <v>91.401610000000005</v>
      </c>
      <c r="G12" s="17">
        <f>VLOOKUP(A12,'ADM Data'!$A$2:$J$52,7,FALSE)</f>
        <v>5.5</v>
      </c>
      <c r="H12" s="17">
        <f>VLOOKUP(A12,'ADM Data'!$A$2:$J$52,8,FALSE)</f>
        <v>0.5</v>
      </c>
      <c r="I12" s="17">
        <f>VLOOKUP(A12,'ADM Data'!$A$2:$J$52,9,FALSE)</f>
        <v>2</v>
      </c>
      <c r="J12" s="17">
        <f>VLOOKUP(A12,'ADM Data'!$A$2:$J$52,10,FALSE)</f>
        <v>18.689654999999998</v>
      </c>
      <c r="K12" s="1">
        <f t="shared" si="0"/>
        <v>0</v>
      </c>
      <c r="L12" s="1">
        <f t="shared" si="1"/>
        <v>257800.75</v>
      </c>
      <c r="M12" s="1">
        <f t="shared" si="2"/>
        <v>37269.620000000003</v>
      </c>
      <c r="N12" s="1">
        <f t="shared" si="3"/>
        <v>4521.7906462745641</v>
      </c>
      <c r="O12" s="1">
        <f t="shared" si="4"/>
        <v>24494.17</v>
      </c>
      <c r="P12" s="1">
        <f t="shared" si="5"/>
        <v>337445.64</v>
      </c>
      <c r="Q12" s="1">
        <f t="shared" si="6"/>
        <v>661531.97064627451</v>
      </c>
      <c r="R12" s="17">
        <f t="shared" si="7"/>
        <v>118.09126500000001</v>
      </c>
    </row>
    <row r="13" spans="1:18" x14ac:dyDescent="0.25">
      <c r="A13" t="s">
        <v>117</v>
      </c>
      <c r="B13" t="s">
        <v>118</v>
      </c>
      <c r="C13" t="s">
        <v>209</v>
      </c>
      <c r="D13" s="15">
        <f>VLOOKUP(A13,'State Share Base Cost'!$A$3:$H$52,8,FALSE)</f>
        <v>0.77675368700000003</v>
      </c>
      <c r="E13" s="17">
        <f>VLOOKUP(A13,'ADM Data'!$A$2:$E$52,5,FALSE)</f>
        <v>1.2976430000000001</v>
      </c>
      <c r="F13" s="17">
        <f>VLOOKUP(A13,'ADM Data'!$A$2:$J$52,6,FALSE)</f>
        <v>211.13345899999999</v>
      </c>
      <c r="G13" s="17">
        <f>VLOOKUP(A13,'ADM Data'!$A$2:$J$52,7,FALSE)</f>
        <v>7.9891100000000002</v>
      </c>
      <c r="H13" s="17">
        <f>VLOOKUP(A13,'ADM Data'!$A$2:$J$52,8,FALSE)</f>
        <v>0</v>
      </c>
      <c r="I13" s="17">
        <f>VLOOKUP(A13,'ADM Data'!$A$2:$J$52,9,FALSE)</f>
        <v>2.5626190000000002</v>
      </c>
      <c r="J13" s="17">
        <f>VLOOKUP(A13,'ADM Data'!$A$2:$J$52,10,FALSE)</f>
        <v>14.382315</v>
      </c>
      <c r="K13" s="1">
        <f t="shared" si="0"/>
        <v>2022.78</v>
      </c>
      <c r="L13" s="1">
        <f t="shared" si="1"/>
        <v>835161.84</v>
      </c>
      <c r="M13" s="1">
        <f t="shared" si="2"/>
        <v>75923.11</v>
      </c>
      <c r="N13" s="1">
        <f t="shared" si="3"/>
        <v>0</v>
      </c>
      <c r="O13" s="1">
        <f t="shared" si="4"/>
        <v>44014.94</v>
      </c>
      <c r="P13" s="1">
        <f t="shared" si="5"/>
        <v>364178.74</v>
      </c>
      <c r="Q13" s="1">
        <f t="shared" si="6"/>
        <v>1321301.4099999999</v>
      </c>
      <c r="R13" s="17">
        <f t="shared" si="7"/>
        <v>237.36514600000001</v>
      </c>
    </row>
    <row r="14" spans="1:18" x14ac:dyDescent="0.25">
      <c r="A14" t="s">
        <v>119</v>
      </c>
      <c r="B14" t="s">
        <v>120</v>
      </c>
      <c r="C14" t="s">
        <v>210</v>
      </c>
      <c r="D14" s="15">
        <f>VLOOKUP(A14,'State Share Base Cost'!$A$3:$H$52,8,FALSE)</f>
        <v>0.45174148600000003</v>
      </c>
      <c r="E14" s="17">
        <f>VLOOKUP(A14,'ADM Data'!$A$2:$E$52,5,FALSE)</f>
        <v>0.63</v>
      </c>
      <c r="F14" s="17">
        <f>VLOOKUP(A14,'ADM Data'!$A$2:$J$52,6,FALSE)</f>
        <v>168.232573</v>
      </c>
      <c r="G14" s="17">
        <f>VLOOKUP(A14,'ADM Data'!$A$2:$J$52,7,FALSE)</f>
        <v>8.3116099999999999</v>
      </c>
      <c r="H14" s="17">
        <f>VLOOKUP(A14,'ADM Data'!$A$2:$J$52,8,FALSE)</f>
        <v>0</v>
      </c>
      <c r="I14" s="17">
        <f>VLOOKUP(A14,'ADM Data'!$A$2:$J$52,9,FALSE)</f>
        <v>2.0564969999999998</v>
      </c>
      <c r="J14" s="17">
        <f>VLOOKUP(A14,'ADM Data'!$A$2:$J$52,10,FALSE)</f>
        <v>20.378596000000002</v>
      </c>
      <c r="K14" s="1">
        <f t="shared" si="0"/>
        <v>571.14</v>
      </c>
      <c r="L14" s="1">
        <f t="shared" si="1"/>
        <v>387017.25</v>
      </c>
      <c r="M14" s="1">
        <f t="shared" si="2"/>
        <v>45937.5</v>
      </c>
      <c r="N14" s="1">
        <f t="shared" si="3"/>
        <v>0</v>
      </c>
      <c r="O14" s="1">
        <f t="shared" si="4"/>
        <v>20542.38</v>
      </c>
      <c r="P14" s="1">
        <f t="shared" si="5"/>
        <v>300100.49</v>
      </c>
      <c r="Q14" s="1">
        <f t="shared" si="6"/>
        <v>754168.76</v>
      </c>
      <c r="R14" s="17">
        <f t="shared" si="7"/>
        <v>199.60927600000002</v>
      </c>
    </row>
    <row r="15" spans="1:18" x14ac:dyDescent="0.25">
      <c r="A15" t="s">
        <v>121</v>
      </c>
      <c r="B15" t="s">
        <v>122</v>
      </c>
      <c r="C15" t="s">
        <v>211</v>
      </c>
      <c r="D15" s="15">
        <f>VLOOKUP(A15,'State Share Base Cost'!$A$3:$H$52,8,FALSE)</f>
        <v>0.58745953900000003</v>
      </c>
      <c r="E15" s="17">
        <f>VLOOKUP(A15,'ADM Data'!$A$2:$E$52,5,FALSE)</f>
        <v>0.13098699999999999</v>
      </c>
      <c r="F15" s="17">
        <f>VLOOKUP(A15,'ADM Data'!$A$2:$J$52,6,FALSE)</f>
        <v>227.560247</v>
      </c>
      <c r="G15" s="17">
        <f>VLOOKUP(A15,'ADM Data'!$A$2:$J$52,7,FALSE)</f>
        <v>12.95454</v>
      </c>
      <c r="H15" s="17">
        <f>VLOOKUP(A15,'ADM Data'!$A$2:$J$52,8,FALSE)</f>
        <v>1</v>
      </c>
      <c r="I15" s="17">
        <f>VLOOKUP(A15,'ADM Data'!$A$2:$J$52,9,FALSE)</f>
        <v>5.6973180000000001</v>
      </c>
      <c r="J15" s="17">
        <f>VLOOKUP(A15,'ADM Data'!$A$2:$J$52,10,FALSE)</f>
        <v>17.917138999999999</v>
      </c>
      <c r="K15" s="1">
        <f t="shared" si="0"/>
        <v>154.41999999999999</v>
      </c>
      <c r="L15" s="1">
        <f t="shared" si="1"/>
        <v>680776.59</v>
      </c>
      <c r="M15" s="1">
        <f t="shared" si="2"/>
        <v>93109.119999999995</v>
      </c>
      <c r="N15" s="1">
        <f t="shared" si="3"/>
        <v>9592.2025091046871</v>
      </c>
      <c r="O15" s="1">
        <f t="shared" si="4"/>
        <v>74008.42</v>
      </c>
      <c r="P15" s="1">
        <f t="shared" si="5"/>
        <v>343122.42</v>
      </c>
      <c r="Q15" s="1">
        <f t="shared" si="6"/>
        <v>1200763.1725091047</v>
      </c>
      <c r="R15" s="17">
        <f t="shared" si="7"/>
        <v>265.26023100000003</v>
      </c>
    </row>
    <row r="16" spans="1:18" x14ac:dyDescent="0.25">
      <c r="A16" t="s">
        <v>123</v>
      </c>
      <c r="B16" t="s">
        <v>124</v>
      </c>
      <c r="C16" t="s">
        <v>212</v>
      </c>
      <c r="D16" s="15">
        <f>VLOOKUP(A16,'State Share Base Cost'!$A$3:$H$52,8,FALSE)</f>
        <v>0.73536283999999996</v>
      </c>
      <c r="E16" s="17">
        <f>VLOOKUP(A16,'ADM Data'!$A$2:$E$52,5,FALSE)</f>
        <v>0</v>
      </c>
      <c r="F16" s="17">
        <f>VLOOKUP(A16,'ADM Data'!$A$2:$J$52,6,FALSE)</f>
        <v>155.37751399999999</v>
      </c>
      <c r="G16" s="17">
        <f>VLOOKUP(A16,'ADM Data'!$A$2:$J$52,7,FALSE)</f>
        <v>5.1990049999999997</v>
      </c>
      <c r="H16" s="17">
        <f>VLOOKUP(A16,'ADM Data'!$A$2:$J$52,8,FALSE)</f>
        <v>0</v>
      </c>
      <c r="I16" s="17">
        <f>VLOOKUP(A16,'ADM Data'!$A$2:$J$52,9,FALSE)</f>
        <v>0.5</v>
      </c>
      <c r="J16" s="17">
        <f>VLOOKUP(A16,'ADM Data'!$A$2:$J$52,10,FALSE)</f>
        <v>13.458657000000001</v>
      </c>
      <c r="K16" s="1">
        <f t="shared" si="0"/>
        <v>0</v>
      </c>
      <c r="L16" s="1">
        <f t="shared" si="1"/>
        <v>581862.14</v>
      </c>
      <c r="M16" s="1">
        <f t="shared" si="2"/>
        <v>46775.040000000001</v>
      </c>
      <c r="N16" s="1">
        <f t="shared" si="3"/>
        <v>0</v>
      </c>
      <c r="O16" s="1">
        <f t="shared" si="4"/>
        <v>8130.26</v>
      </c>
      <c r="P16" s="1">
        <f t="shared" si="5"/>
        <v>322630.84000000003</v>
      </c>
      <c r="Q16" s="1">
        <f t="shared" si="6"/>
        <v>959398.28</v>
      </c>
      <c r="R16" s="17">
        <f t="shared" si="7"/>
        <v>174.53517599999998</v>
      </c>
    </row>
    <row r="17" spans="1:18" x14ac:dyDescent="0.25">
      <c r="A17" t="s">
        <v>125</v>
      </c>
      <c r="B17" t="s">
        <v>126</v>
      </c>
      <c r="C17" t="s">
        <v>213</v>
      </c>
      <c r="D17" s="15">
        <f>VLOOKUP(A17,'State Share Base Cost'!$A$3:$H$52,8,FALSE)</f>
        <v>0.77291465400000003</v>
      </c>
      <c r="E17" s="17">
        <f>VLOOKUP(A17,'ADM Data'!$A$2:$E$52,5,FALSE)</f>
        <v>0.80449000000000004</v>
      </c>
      <c r="F17" s="17">
        <f>VLOOKUP(A17,'ADM Data'!$A$2:$J$52,6,FALSE)</f>
        <v>171.654552</v>
      </c>
      <c r="G17" s="17">
        <f>VLOOKUP(A17,'ADM Data'!$A$2:$J$52,7,FALSE)</f>
        <v>8.4169490000000007</v>
      </c>
      <c r="H17" s="17">
        <f>VLOOKUP(A17,'ADM Data'!$A$2:$J$52,8,FALSE)</f>
        <v>0.28000000000000003</v>
      </c>
      <c r="I17" s="17">
        <f>VLOOKUP(A17,'ADM Data'!$A$2:$J$52,9,FALSE)</f>
        <v>7.56</v>
      </c>
      <c r="J17" s="17">
        <f>VLOOKUP(A17,'ADM Data'!$A$2:$J$52,10,FALSE)</f>
        <v>30.558916</v>
      </c>
      <c r="K17" s="1">
        <f t="shared" si="0"/>
        <v>1247.8499999999999</v>
      </c>
      <c r="L17" s="1">
        <f t="shared" si="1"/>
        <v>675642.75</v>
      </c>
      <c r="M17" s="1">
        <f t="shared" si="2"/>
        <v>79593.66</v>
      </c>
      <c r="N17" s="1">
        <f t="shared" si="3"/>
        <v>3533.7022374205121</v>
      </c>
      <c r="O17" s="1">
        <f t="shared" si="4"/>
        <v>129207.01</v>
      </c>
      <c r="P17" s="1">
        <f t="shared" si="5"/>
        <v>769966.72</v>
      </c>
      <c r="Q17" s="1">
        <f t="shared" si="6"/>
        <v>1659191.6922374205</v>
      </c>
      <c r="R17" s="17">
        <f t="shared" si="7"/>
        <v>219.27490699999998</v>
      </c>
    </row>
    <row r="18" spans="1:18" x14ac:dyDescent="0.25">
      <c r="A18" t="s">
        <v>127</v>
      </c>
      <c r="B18" t="s">
        <v>128</v>
      </c>
      <c r="C18" t="s">
        <v>214</v>
      </c>
      <c r="D18" s="15">
        <f>VLOOKUP(A18,'State Share Base Cost'!$A$3:$H$52,8,FALSE)</f>
        <v>0.70158564199999995</v>
      </c>
      <c r="E18" s="17">
        <f>VLOOKUP(A18,'ADM Data'!$A$2:$E$52,5,FALSE)</f>
        <v>8.002777</v>
      </c>
      <c r="F18" s="17">
        <f>VLOOKUP(A18,'ADM Data'!$A$2:$J$52,6,FALSE)</f>
        <v>580.21740699999998</v>
      </c>
      <c r="G18" s="17">
        <f>VLOOKUP(A18,'ADM Data'!$A$2:$J$52,7,FALSE)</f>
        <v>30.031382000000001</v>
      </c>
      <c r="H18" s="17">
        <f>VLOOKUP(A18,'ADM Data'!$A$2:$J$52,8,FALSE)</f>
        <v>3.5887500000000001</v>
      </c>
      <c r="I18" s="17">
        <f>VLOOKUP(A18,'ADM Data'!$A$2:$J$52,9,FALSE)</f>
        <v>14.136412999999999</v>
      </c>
      <c r="J18" s="17">
        <f>VLOOKUP(A18,'ADM Data'!$A$2:$J$52,10,FALSE)</f>
        <v>50.077911999999998</v>
      </c>
      <c r="K18" s="1">
        <f t="shared" si="0"/>
        <v>11267.63</v>
      </c>
      <c r="L18" s="1">
        <f t="shared" si="1"/>
        <v>2073011.45</v>
      </c>
      <c r="M18" s="1">
        <f t="shared" si="2"/>
        <v>257779.44</v>
      </c>
      <c r="N18" s="1">
        <f t="shared" si="3"/>
        <v>41111.590316621492</v>
      </c>
      <c r="O18" s="1">
        <f t="shared" si="4"/>
        <v>219307.08</v>
      </c>
      <c r="P18" s="1">
        <f t="shared" si="5"/>
        <v>1145326.67</v>
      </c>
      <c r="Q18" s="1">
        <f t="shared" si="6"/>
        <v>3747803.8603166216</v>
      </c>
      <c r="R18" s="17">
        <f t="shared" si="7"/>
        <v>686.05464099999995</v>
      </c>
    </row>
    <row r="19" spans="1:18" x14ac:dyDescent="0.25">
      <c r="A19" t="s">
        <v>129</v>
      </c>
      <c r="B19" t="s">
        <v>130</v>
      </c>
      <c r="C19" t="s">
        <v>215</v>
      </c>
      <c r="D19" s="15">
        <f>VLOOKUP(A19,'State Share Base Cost'!$A$3:$H$52,8,FALSE)</f>
        <v>0.76996111300000003</v>
      </c>
      <c r="E19" s="17">
        <f>VLOOKUP(A19,'ADM Data'!$A$2:$E$52,5,FALSE)</f>
        <v>0</v>
      </c>
      <c r="F19" s="17">
        <f>VLOOKUP(A19,'ADM Data'!$A$2:$J$52,6,FALSE)</f>
        <v>61.115706000000003</v>
      </c>
      <c r="G19" s="17">
        <f>VLOOKUP(A19,'ADM Data'!$A$2:$J$52,7,FALSE)</f>
        <v>9.3559319999999992</v>
      </c>
      <c r="H19" s="17">
        <f>VLOOKUP(A19,'ADM Data'!$A$2:$J$52,8,FALSE)</f>
        <v>0</v>
      </c>
      <c r="I19" s="17">
        <f>VLOOKUP(A19,'ADM Data'!$A$2:$J$52,9,FALSE)</f>
        <v>5.7966110000000004</v>
      </c>
      <c r="J19" s="17">
        <f>VLOOKUP(A19,'ADM Data'!$A$2:$J$52,10,FALSE)</f>
        <v>8.6892099999999992</v>
      </c>
      <c r="K19" s="1">
        <f t="shared" si="0"/>
        <v>0</v>
      </c>
      <c r="L19" s="1">
        <f t="shared" si="1"/>
        <v>239635.9</v>
      </c>
      <c r="M19" s="1">
        <f t="shared" si="2"/>
        <v>88134.94</v>
      </c>
      <c r="N19" s="1">
        <f t="shared" si="3"/>
        <v>0</v>
      </c>
      <c r="O19" s="1">
        <f t="shared" si="4"/>
        <v>98690.58</v>
      </c>
      <c r="P19" s="1">
        <f t="shared" si="5"/>
        <v>218097.94</v>
      </c>
      <c r="Q19" s="1">
        <f t="shared" si="6"/>
        <v>644559.35999999999</v>
      </c>
      <c r="R19" s="17">
        <f t="shared" si="7"/>
        <v>84.957459</v>
      </c>
    </row>
    <row r="20" spans="1:18" x14ac:dyDescent="0.25">
      <c r="A20" t="s">
        <v>131</v>
      </c>
      <c r="B20" t="s">
        <v>132</v>
      </c>
      <c r="C20" t="s">
        <v>216</v>
      </c>
      <c r="D20" s="15">
        <f>VLOOKUP(A20,'State Share Base Cost'!$A$3:$H$52,8,FALSE)</f>
        <v>0.82963948899999995</v>
      </c>
      <c r="E20" s="17">
        <f>VLOOKUP(A20,'ADM Data'!$A$2:$E$52,5,FALSE)</f>
        <v>0</v>
      </c>
      <c r="F20" s="17">
        <f>VLOOKUP(A20,'ADM Data'!$A$2:$J$52,6,FALSE)</f>
        <v>94.642453000000003</v>
      </c>
      <c r="G20" s="17">
        <f>VLOOKUP(A20,'ADM Data'!$A$2:$J$52,7,FALSE)</f>
        <v>4</v>
      </c>
      <c r="H20" s="17">
        <f>VLOOKUP(A20,'ADM Data'!$A$2:$J$52,8,FALSE)</f>
        <v>0</v>
      </c>
      <c r="I20" s="17">
        <f>VLOOKUP(A20,'ADM Data'!$A$2:$J$52,9,FALSE)</f>
        <v>2</v>
      </c>
      <c r="J20" s="17">
        <f>VLOOKUP(A20,'ADM Data'!$A$2:$J$52,10,FALSE)</f>
        <v>8</v>
      </c>
      <c r="K20" s="1">
        <f t="shared" si="0"/>
        <v>0</v>
      </c>
      <c r="L20" s="1">
        <f t="shared" si="1"/>
        <v>399857.88</v>
      </c>
      <c r="M20" s="1">
        <f t="shared" si="2"/>
        <v>40601.46</v>
      </c>
      <c r="N20" s="1">
        <f t="shared" si="3"/>
        <v>0</v>
      </c>
      <c r="O20" s="1">
        <f t="shared" si="4"/>
        <v>36690.370000000003</v>
      </c>
      <c r="P20" s="1">
        <f t="shared" si="5"/>
        <v>216362.44</v>
      </c>
      <c r="Q20" s="1">
        <f t="shared" si="6"/>
        <v>693512.15</v>
      </c>
      <c r="R20" s="17">
        <f t="shared" si="7"/>
        <v>108.642453</v>
      </c>
    </row>
    <row r="21" spans="1:18" x14ac:dyDescent="0.25">
      <c r="A21" t="s">
        <v>133</v>
      </c>
      <c r="B21" t="s">
        <v>134</v>
      </c>
      <c r="C21" t="s">
        <v>217</v>
      </c>
      <c r="D21" s="15">
        <f>VLOOKUP(A21,'State Share Base Cost'!$A$3:$H$52,8,FALSE)</f>
        <v>0.43655084</v>
      </c>
      <c r="E21" s="17">
        <f>VLOOKUP(A21,'ADM Data'!$A$2:$E$52,5,FALSE)</f>
        <v>0</v>
      </c>
      <c r="F21" s="17">
        <f>VLOOKUP(A21,'ADM Data'!$A$2:$J$52,6,FALSE)</f>
        <v>57.783707999999997</v>
      </c>
      <c r="G21" s="17">
        <f>VLOOKUP(A21,'ADM Data'!$A$2:$J$52,7,FALSE)</f>
        <v>4.6938199999999997</v>
      </c>
      <c r="H21" s="17">
        <f>VLOOKUP(A21,'ADM Data'!$A$2:$J$52,8,FALSE)</f>
        <v>1.5842700000000001</v>
      </c>
      <c r="I21" s="17">
        <f>VLOOKUP(A21,'ADM Data'!$A$2:$J$52,9,FALSE)</f>
        <v>0</v>
      </c>
      <c r="J21" s="17">
        <f>VLOOKUP(A21,'ADM Data'!$A$2:$J$52,10,FALSE)</f>
        <v>4.1629209999999999</v>
      </c>
      <c r="K21" s="1">
        <f t="shared" si="0"/>
        <v>0</v>
      </c>
      <c r="L21" s="1">
        <f t="shared" si="1"/>
        <v>128460.76</v>
      </c>
      <c r="M21" s="1">
        <f t="shared" si="2"/>
        <v>25069.95</v>
      </c>
      <c r="N21" s="1">
        <f t="shared" si="3"/>
        <v>11292.871995005215</v>
      </c>
      <c r="O21" s="1">
        <f t="shared" si="4"/>
        <v>0</v>
      </c>
      <c r="P21" s="1">
        <f t="shared" si="5"/>
        <v>59242.78</v>
      </c>
      <c r="Q21" s="1">
        <f t="shared" si="6"/>
        <v>224066.36199500519</v>
      </c>
      <c r="R21" s="17">
        <f t="shared" si="7"/>
        <v>68.224718999999993</v>
      </c>
    </row>
    <row r="22" spans="1:18" x14ac:dyDescent="0.25">
      <c r="A22" t="s">
        <v>135</v>
      </c>
      <c r="B22" t="s">
        <v>136</v>
      </c>
      <c r="C22" t="s">
        <v>218</v>
      </c>
      <c r="D22" s="15">
        <f>VLOOKUP(A22,'State Share Base Cost'!$A$3:$H$52,8,FALSE)</f>
        <v>0.88675857800000002</v>
      </c>
      <c r="E22" s="17">
        <f>VLOOKUP(A22,'ADM Data'!$A$2:$E$52,5,FALSE)</f>
        <v>0.83168600000000004</v>
      </c>
      <c r="F22" s="17">
        <f>VLOOKUP(A22,'ADM Data'!$A$2:$J$52,6,FALSE)</f>
        <v>121.51385000000001</v>
      </c>
      <c r="G22" s="17">
        <f>VLOOKUP(A22,'ADM Data'!$A$2:$J$52,7,FALSE)</f>
        <v>10.768530999999999</v>
      </c>
      <c r="H22" s="17">
        <f>VLOOKUP(A22,'ADM Data'!$A$2:$J$52,8,FALSE)</f>
        <v>1.1964399999999999</v>
      </c>
      <c r="I22" s="17">
        <f>VLOOKUP(A22,'ADM Data'!$A$2:$J$52,9,FALSE)</f>
        <v>7.13</v>
      </c>
      <c r="J22" s="17">
        <f>VLOOKUP(A22,'ADM Data'!$A$2:$J$52,10,FALSE)</f>
        <v>10.101004</v>
      </c>
      <c r="K22" s="1">
        <f t="shared" si="0"/>
        <v>1480.05</v>
      </c>
      <c r="L22" s="1">
        <f t="shared" si="1"/>
        <v>548733.44999999995</v>
      </c>
      <c r="M22" s="1">
        <f t="shared" si="2"/>
        <v>116829.93</v>
      </c>
      <c r="N22" s="1">
        <f t="shared" si="3"/>
        <v>17323.542315760435</v>
      </c>
      <c r="O22" s="1">
        <f t="shared" si="4"/>
        <v>139806.6</v>
      </c>
      <c r="P22" s="1">
        <f t="shared" si="5"/>
        <v>291992.98</v>
      </c>
      <c r="Q22" s="1">
        <f t="shared" si="6"/>
        <v>1116166.5523157604</v>
      </c>
      <c r="R22" s="17">
        <f t="shared" si="7"/>
        <v>151.54151099999999</v>
      </c>
    </row>
    <row r="23" spans="1:18" x14ac:dyDescent="0.25">
      <c r="A23" t="s">
        <v>137</v>
      </c>
      <c r="B23" t="s">
        <v>138</v>
      </c>
      <c r="C23" t="s">
        <v>219</v>
      </c>
      <c r="D23" s="15">
        <f>VLOOKUP(A23,'State Share Base Cost'!$A$3:$H$52,8,FALSE)</f>
        <v>0.67554302099999997</v>
      </c>
      <c r="E23" s="17">
        <f>VLOOKUP(A23,'ADM Data'!$A$2:$E$52,5,FALSE)</f>
        <v>3.625909</v>
      </c>
      <c r="F23" s="17">
        <f>VLOOKUP(A23,'ADM Data'!$A$2:$J$52,6,FALSE)</f>
        <v>145.811013</v>
      </c>
      <c r="G23" s="17">
        <f>VLOOKUP(A23,'ADM Data'!$A$2:$J$52,7,FALSE)</f>
        <v>5.6069719999999998</v>
      </c>
      <c r="H23" s="17">
        <f>VLOOKUP(A23,'ADM Data'!$A$2:$J$52,8,FALSE)</f>
        <v>0</v>
      </c>
      <c r="I23" s="17">
        <f>VLOOKUP(A23,'ADM Data'!$A$2:$J$52,9,FALSE)</f>
        <v>3.019873</v>
      </c>
      <c r="J23" s="17">
        <f>VLOOKUP(A23,'ADM Data'!$A$2:$J$52,10,FALSE)</f>
        <v>22.300763</v>
      </c>
      <c r="K23" s="1">
        <f t="shared" si="0"/>
        <v>4915.6499999999996</v>
      </c>
      <c r="L23" s="1">
        <f t="shared" si="1"/>
        <v>501618.56</v>
      </c>
      <c r="M23" s="1">
        <f t="shared" si="2"/>
        <v>46341.88</v>
      </c>
      <c r="N23" s="1">
        <f t="shared" si="3"/>
        <v>0</v>
      </c>
      <c r="O23" s="1">
        <f t="shared" si="4"/>
        <v>45110.17</v>
      </c>
      <c r="P23" s="1">
        <f t="shared" si="5"/>
        <v>491105.96</v>
      </c>
      <c r="Q23" s="1">
        <f t="shared" si="6"/>
        <v>1089092.22</v>
      </c>
      <c r="R23" s="17">
        <f t="shared" si="7"/>
        <v>180.36453</v>
      </c>
    </row>
    <row r="24" spans="1:18" x14ac:dyDescent="0.25">
      <c r="A24" t="s">
        <v>139</v>
      </c>
      <c r="B24" t="s">
        <v>140</v>
      </c>
      <c r="C24" t="s">
        <v>220</v>
      </c>
      <c r="D24" s="15">
        <f>VLOOKUP(A24,'State Share Base Cost'!$A$3:$H$52,8,FALSE)</f>
        <v>0.684246629</v>
      </c>
      <c r="E24" s="17">
        <f>VLOOKUP(A24,'ADM Data'!$A$2:$E$52,5,FALSE)</f>
        <v>2.1343930000000002</v>
      </c>
      <c r="F24" s="17">
        <f>VLOOKUP(A24,'ADM Data'!$A$2:$J$52,6,FALSE)</f>
        <v>273.63522699999999</v>
      </c>
      <c r="G24" s="17">
        <f>VLOOKUP(A24,'ADM Data'!$A$2:$J$52,7,FALSE)</f>
        <v>6.2975669999999999</v>
      </c>
      <c r="H24" s="17">
        <f>VLOOKUP(A24,'ADM Data'!$A$2:$J$52,8,FALSE)</f>
        <v>1</v>
      </c>
      <c r="I24" s="17">
        <f>VLOOKUP(A24,'ADM Data'!$A$2:$J$52,9,FALSE)</f>
        <v>2</v>
      </c>
      <c r="J24" s="17">
        <f>VLOOKUP(A24,'ADM Data'!$A$2:$J$52,10,FALSE)</f>
        <v>16.900969</v>
      </c>
      <c r="K24" s="1">
        <f t="shared" si="0"/>
        <v>2930.88</v>
      </c>
      <c r="L24" s="1">
        <f t="shared" si="1"/>
        <v>953487.33</v>
      </c>
      <c r="M24" s="1">
        <f t="shared" si="2"/>
        <v>52720.28</v>
      </c>
      <c r="N24" s="1">
        <f t="shared" si="3"/>
        <v>11172.568995496767</v>
      </c>
      <c r="O24" s="1">
        <f t="shared" si="4"/>
        <v>30260.45</v>
      </c>
      <c r="P24" s="1">
        <f t="shared" si="5"/>
        <v>376987.32</v>
      </c>
      <c r="Q24" s="1">
        <f t="shared" si="6"/>
        <v>1427558.8289954967</v>
      </c>
      <c r="R24" s="17">
        <f t="shared" si="7"/>
        <v>301.96815599999996</v>
      </c>
    </row>
    <row r="25" spans="1:18" x14ac:dyDescent="0.25">
      <c r="A25" t="s">
        <v>141</v>
      </c>
      <c r="B25" t="s">
        <v>142</v>
      </c>
      <c r="C25" t="s">
        <v>221</v>
      </c>
      <c r="D25" s="15">
        <f>VLOOKUP(A25,'State Share Base Cost'!$A$3:$H$52,8,FALSE)</f>
        <v>0.69261277899999996</v>
      </c>
      <c r="E25" s="17">
        <f>VLOOKUP(A25,'ADM Data'!$A$2:$E$52,5,FALSE)</f>
        <v>0</v>
      </c>
      <c r="F25" s="17">
        <f>VLOOKUP(A25,'ADM Data'!$A$2:$J$52,6,FALSE)</f>
        <v>154.94539700000001</v>
      </c>
      <c r="G25" s="17">
        <f>VLOOKUP(A25,'ADM Data'!$A$2:$J$52,7,FALSE)</f>
        <v>8.0196339999999999</v>
      </c>
      <c r="H25" s="17">
        <f>VLOOKUP(A25,'ADM Data'!$A$2:$J$52,8,FALSE)</f>
        <v>2</v>
      </c>
      <c r="I25" s="17">
        <f>VLOOKUP(A25,'ADM Data'!$A$2:$J$52,9,FALSE)</f>
        <v>0</v>
      </c>
      <c r="J25" s="17">
        <f>VLOOKUP(A25,'ADM Data'!$A$2:$J$52,10,FALSE)</f>
        <v>16.239153000000002</v>
      </c>
      <c r="K25" s="1">
        <f t="shared" si="0"/>
        <v>0</v>
      </c>
      <c r="L25" s="1">
        <f t="shared" si="1"/>
        <v>546511.66</v>
      </c>
      <c r="M25" s="1">
        <f t="shared" si="2"/>
        <v>67957.490000000005</v>
      </c>
      <c r="N25" s="1">
        <f t="shared" si="3"/>
        <v>22618.347632488676</v>
      </c>
      <c r="O25" s="1">
        <f t="shared" si="4"/>
        <v>0</v>
      </c>
      <c r="P25" s="1">
        <f t="shared" si="5"/>
        <v>366653.93</v>
      </c>
      <c r="Q25" s="1">
        <f t="shared" si="6"/>
        <v>1003741.4276324888</v>
      </c>
      <c r="R25" s="17">
        <f t="shared" si="7"/>
        <v>181.204184</v>
      </c>
    </row>
    <row r="26" spans="1:18" x14ac:dyDescent="0.25">
      <c r="A26" t="s">
        <v>143</v>
      </c>
      <c r="B26" t="s">
        <v>144</v>
      </c>
      <c r="C26" t="s">
        <v>222</v>
      </c>
      <c r="D26" s="15">
        <f>VLOOKUP(A26,'State Share Base Cost'!$A$3:$H$52,8,FALSE)</f>
        <v>0.78459845299999997</v>
      </c>
      <c r="E26" s="17">
        <f>VLOOKUP(A26,'ADM Data'!$A$2:$E$52,5,FALSE)</f>
        <v>2.4322089999999998</v>
      </c>
      <c r="F26" s="17">
        <f>VLOOKUP(A26,'ADM Data'!$A$2:$J$52,6,FALSE)</f>
        <v>268.98651000000001</v>
      </c>
      <c r="G26" s="17">
        <f>VLOOKUP(A26,'ADM Data'!$A$2:$J$52,7,FALSE)</f>
        <v>11.948812999999999</v>
      </c>
      <c r="H26" s="17">
        <f>VLOOKUP(A26,'ADM Data'!$A$2:$J$52,8,FALSE)</f>
        <v>2.0524000000000001E-2</v>
      </c>
      <c r="I26" s="17">
        <f>VLOOKUP(A26,'ADM Data'!$A$2:$J$52,9,FALSE)</f>
        <v>1.8746480000000001</v>
      </c>
      <c r="J26" s="17">
        <f>VLOOKUP(A26,'ADM Data'!$A$2:$J$52,10,FALSE)</f>
        <v>29.925678000000001</v>
      </c>
      <c r="K26" s="1">
        <f t="shared" si="0"/>
        <v>3829.65</v>
      </c>
      <c r="L26" s="1">
        <f t="shared" si="1"/>
        <v>1074751.8500000001</v>
      </c>
      <c r="M26" s="1">
        <f t="shared" si="2"/>
        <v>114700.28</v>
      </c>
      <c r="N26" s="1">
        <f t="shared" si="3"/>
        <v>262.93586709274012</v>
      </c>
      <c r="O26" s="1">
        <f t="shared" si="4"/>
        <v>32523.7</v>
      </c>
      <c r="P26" s="1">
        <f t="shared" si="5"/>
        <v>765409.62</v>
      </c>
      <c r="Q26" s="1">
        <f t="shared" si="6"/>
        <v>1991478.0358670927</v>
      </c>
      <c r="R26" s="17">
        <f t="shared" si="7"/>
        <v>315.18838199999999</v>
      </c>
    </row>
    <row r="27" spans="1:18" x14ac:dyDescent="0.25">
      <c r="A27" t="s">
        <v>145</v>
      </c>
      <c r="B27" t="s">
        <v>146</v>
      </c>
      <c r="C27" t="s">
        <v>223</v>
      </c>
      <c r="D27" s="15">
        <f>VLOOKUP(A27,'State Share Base Cost'!$A$3:$H$52,8,FALSE)</f>
        <v>0.76590154499999996</v>
      </c>
      <c r="E27" s="17">
        <f>VLOOKUP(A27,'ADM Data'!$A$2:$E$52,5,FALSE)</f>
        <v>1.28</v>
      </c>
      <c r="F27" s="17">
        <f>VLOOKUP(A27,'ADM Data'!$A$2:$J$52,6,FALSE)</f>
        <v>191.89829900000001</v>
      </c>
      <c r="G27" s="17">
        <f>VLOOKUP(A27,'ADM Data'!$A$2:$J$52,7,FALSE)</f>
        <v>4</v>
      </c>
      <c r="H27" s="17">
        <f>VLOOKUP(A27,'ADM Data'!$A$2:$J$52,8,FALSE)</f>
        <v>0.14000000000000001</v>
      </c>
      <c r="I27" s="17">
        <f>VLOOKUP(A27,'ADM Data'!$A$2:$J$52,9,FALSE)</f>
        <v>4.6802510000000002</v>
      </c>
      <c r="J27" s="17">
        <f>VLOOKUP(A27,'ADM Data'!$A$2:$J$52,10,FALSE)</f>
        <v>8.2799999999999994</v>
      </c>
      <c r="K27" s="1">
        <f t="shared" si="0"/>
        <v>1967.41</v>
      </c>
      <c r="L27" s="1">
        <f t="shared" si="1"/>
        <v>748469.88</v>
      </c>
      <c r="M27" s="1">
        <f t="shared" si="2"/>
        <v>37482.21</v>
      </c>
      <c r="N27" s="1">
        <f t="shared" si="3"/>
        <v>1750.8194398979056</v>
      </c>
      <c r="O27" s="1">
        <f t="shared" si="4"/>
        <v>79263.789999999994</v>
      </c>
      <c r="P27" s="1">
        <f t="shared" si="5"/>
        <v>206731.07</v>
      </c>
      <c r="Q27" s="1">
        <f t="shared" si="6"/>
        <v>1075665.1794398979</v>
      </c>
      <c r="R27" s="17">
        <f t="shared" si="7"/>
        <v>210.27855</v>
      </c>
    </row>
    <row r="28" spans="1:18" x14ac:dyDescent="0.25">
      <c r="A28" t="s">
        <v>147</v>
      </c>
      <c r="B28" t="s">
        <v>148</v>
      </c>
      <c r="C28" t="s">
        <v>224</v>
      </c>
      <c r="D28" s="15">
        <f>VLOOKUP(A28,'State Share Base Cost'!$A$3:$H$52,8,FALSE)</f>
        <v>0.78987996199999999</v>
      </c>
      <c r="E28" s="17">
        <f>VLOOKUP(A28,'ADM Data'!$A$2:$E$52,5,FALSE)</f>
        <v>0.39416899999999999</v>
      </c>
      <c r="F28" s="17">
        <f>VLOOKUP(A28,'ADM Data'!$A$2:$J$52,6,FALSE)</f>
        <v>168.69804600000001</v>
      </c>
      <c r="G28" s="17">
        <f>VLOOKUP(A28,'ADM Data'!$A$2:$J$52,7,FALSE)</f>
        <v>5.7427289999999998</v>
      </c>
      <c r="H28" s="17">
        <f>VLOOKUP(A28,'ADM Data'!$A$2:$J$52,8,FALSE)</f>
        <v>1.168177</v>
      </c>
      <c r="I28" s="17">
        <f>VLOOKUP(A28,'ADM Data'!$A$2:$J$52,9,FALSE)</f>
        <v>0.13145499999999999</v>
      </c>
      <c r="J28" s="17">
        <f>VLOOKUP(A28,'ADM Data'!$A$2:$J$52,10,FALSE)</f>
        <v>12.833468</v>
      </c>
      <c r="K28" s="1">
        <f t="shared" si="0"/>
        <v>624.82000000000005</v>
      </c>
      <c r="L28" s="1">
        <f t="shared" si="1"/>
        <v>678580.54</v>
      </c>
      <c r="M28" s="1">
        <f t="shared" si="2"/>
        <v>55497.279999999999</v>
      </c>
      <c r="N28" s="1">
        <f t="shared" si="3"/>
        <v>15066.421968902667</v>
      </c>
      <c r="O28" s="1">
        <f t="shared" si="4"/>
        <v>2296</v>
      </c>
      <c r="P28" s="1">
        <f t="shared" si="5"/>
        <v>330451.40000000002</v>
      </c>
      <c r="Q28" s="1">
        <f t="shared" si="6"/>
        <v>1082516.4619689027</v>
      </c>
      <c r="R28" s="17">
        <f t="shared" si="7"/>
        <v>188.96804400000002</v>
      </c>
    </row>
    <row r="29" spans="1:18" x14ac:dyDescent="0.25">
      <c r="A29" t="s">
        <v>149</v>
      </c>
      <c r="B29" t="s">
        <v>150</v>
      </c>
      <c r="C29" t="s">
        <v>225</v>
      </c>
      <c r="D29" s="15">
        <f>VLOOKUP(A29,'State Share Base Cost'!$A$3:$H$52,8,FALSE)</f>
        <v>0.80623046600000003</v>
      </c>
      <c r="E29" s="17">
        <f>VLOOKUP(A29,'ADM Data'!$A$2:$E$52,5,FALSE)</f>
        <v>2.2897090000000002</v>
      </c>
      <c r="F29" s="17">
        <f>VLOOKUP(A29,'ADM Data'!$A$2:$J$52,6,FALSE)</f>
        <v>392.25771300000002</v>
      </c>
      <c r="G29" s="17">
        <f>VLOOKUP(A29,'ADM Data'!$A$2:$J$52,7,FALSE)</f>
        <v>18.223201</v>
      </c>
      <c r="H29" s="17">
        <f>VLOOKUP(A29,'ADM Data'!$A$2:$J$52,8,FALSE)</f>
        <v>3.4764710000000001</v>
      </c>
      <c r="I29" s="17">
        <f>VLOOKUP(A29,'ADM Data'!$A$2:$J$52,9,FALSE)</f>
        <v>9.2625720000000005</v>
      </c>
      <c r="J29" s="17">
        <f>VLOOKUP(A29,'ADM Data'!$A$2:$J$52,10,FALSE)</f>
        <v>55.197719999999997</v>
      </c>
      <c r="K29" s="1">
        <f t="shared" si="0"/>
        <v>3704.68</v>
      </c>
      <c r="L29" s="1">
        <f t="shared" si="1"/>
        <v>1610500.83</v>
      </c>
      <c r="M29" s="1">
        <f t="shared" si="2"/>
        <v>179752.99</v>
      </c>
      <c r="N29" s="1">
        <f t="shared" si="3"/>
        <v>45765.498268999341</v>
      </c>
      <c r="O29" s="1">
        <f t="shared" si="4"/>
        <v>165129.07</v>
      </c>
      <c r="P29" s="1">
        <f t="shared" si="5"/>
        <v>1450717.38</v>
      </c>
      <c r="Q29" s="1">
        <f t="shared" si="6"/>
        <v>3455570.4482689993</v>
      </c>
      <c r="R29" s="17">
        <f t="shared" si="7"/>
        <v>480.70738600000004</v>
      </c>
    </row>
    <row r="30" spans="1:18" x14ac:dyDescent="0.25">
      <c r="A30" t="s">
        <v>151</v>
      </c>
      <c r="B30" t="s">
        <v>152</v>
      </c>
      <c r="C30" t="s">
        <v>226</v>
      </c>
      <c r="D30" s="15">
        <f>VLOOKUP(A30,'State Share Base Cost'!$A$3:$H$52,8,FALSE)</f>
        <v>0.93411167100000003</v>
      </c>
      <c r="E30" s="17">
        <f>VLOOKUP(A30,'ADM Data'!$A$2:$E$52,5,FALSE)</f>
        <v>0</v>
      </c>
      <c r="F30" s="17">
        <f>VLOOKUP(A30,'ADM Data'!$A$2:$J$52,6,FALSE)</f>
        <v>103.22615</v>
      </c>
      <c r="G30" s="17">
        <f>VLOOKUP(A30,'ADM Data'!$A$2:$J$52,7,FALSE)</f>
        <v>5.4351149999999997</v>
      </c>
      <c r="H30" s="17">
        <f>VLOOKUP(A30,'ADM Data'!$A$2:$J$52,8,FALSE)</f>
        <v>1</v>
      </c>
      <c r="I30" s="17">
        <f>VLOOKUP(A30,'ADM Data'!$A$2:$J$52,9,FALSE)</f>
        <v>7.3721370000000004</v>
      </c>
      <c r="J30" s="17">
        <f>VLOOKUP(A30,'ADM Data'!$A$2:$J$52,10,FALSE)</f>
        <v>11.544714000000001</v>
      </c>
      <c r="K30" s="1">
        <f t="shared" si="0"/>
        <v>0</v>
      </c>
      <c r="L30" s="1">
        <f t="shared" si="1"/>
        <v>491042.16</v>
      </c>
      <c r="M30" s="1">
        <f t="shared" si="2"/>
        <v>62115.47</v>
      </c>
      <c r="N30" s="1">
        <f t="shared" si="3"/>
        <v>15252.434796790612</v>
      </c>
      <c r="O30" s="1">
        <f t="shared" si="4"/>
        <v>152273.71</v>
      </c>
      <c r="P30" s="1">
        <f t="shared" si="5"/>
        <v>351547.85</v>
      </c>
      <c r="Q30" s="1">
        <f t="shared" si="6"/>
        <v>1072231.6247967905</v>
      </c>
      <c r="R30" s="17">
        <f t="shared" si="7"/>
        <v>128.57811599999999</v>
      </c>
    </row>
    <row r="31" spans="1:18" x14ac:dyDescent="0.25">
      <c r="A31" t="s">
        <v>153</v>
      </c>
      <c r="B31" t="s">
        <v>154</v>
      </c>
      <c r="C31" t="s">
        <v>227</v>
      </c>
      <c r="D31" s="15">
        <f>VLOOKUP(A31,'State Share Base Cost'!$A$3:$H$52,8,FALSE)</f>
        <v>0.76344750299999997</v>
      </c>
      <c r="E31" s="17">
        <f>VLOOKUP(A31,'ADM Data'!$A$2:$E$52,5,FALSE)</f>
        <v>0</v>
      </c>
      <c r="F31" s="17">
        <f>VLOOKUP(A31,'ADM Data'!$A$2:$J$52,6,FALSE)</f>
        <v>142.40535600000001</v>
      </c>
      <c r="G31" s="17">
        <f>VLOOKUP(A31,'ADM Data'!$A$2:$J$52,7,FALSE)</f>
        <v>3.9568669999999999</v>
      </c>
      <c r="H31" s="17">
        <f>VLOOKUP(A31,'ADM Data'!$A$2:$J$52,8,FALSE)</f>
        <v>1</v>
      </c>
      <c r="I31" s="17">
        <f>VLOOKUP(A31,'ADM Data'!$A$2:$J$52,9,FALSE)</f>
        <v>4</v>
      </c>
      <c r="J31" s="17">
        <f>VLOOKUP(A31,'ADM Data'!$A$2:$J$52,10,FALSE)</f>
        <v>14.372881</v>
      </c>
      <c r="K31" s="1">
        <f t="shared" si="0"/>
        <v>0</v>
      </c>
      <c r="L31" s="1">
        <f t="shared" si="1"/>
        <v>553650.57999999996</v>
      </c>
      <c r="M31" s="1">
        <f t="shared" si="2"/>
        <v>36959.230000000003</v>
      </c>
      <c r="N31" s="1">
        <f t="shared" si="3"/>
        <v>12465.782862785905</v>
      </c>
      <c r="O31" s="1">
        <f t="shared" si="4"/>
        <v>67526.14</v>
      </c>
      <c r="P31" s="1">
        <f t="shared" si="5"/>
        <v>357705.38</v>
      </c>
      <c r="Q31" s="1">
        <f t="shared" si="6"/>
        <v>1028307.1128627858</v>
      </c>
      <c r="R31" s="17">
        <f t="shared" si="7"/>
        <v>165.73510400000001</v>
      </c>
    </row>
    <row r="32" spans="1:18" x14ac:dyDescent="0.25">
      <c r="A32" t="s">
        <v>155</v>
      </c>
      <c r="B32" t="s">
        <v>156</v>
      </c>
      <c r="C32" t="s">
        <v>228</v>
      </c>
      <c r="D32" s="15">
        <f>VLOOKUP(A32,'State Share Base Cost'!$A$3:$H$52,8,FALSE)</f>
        <v>0.87171116199999998</v>
      </c>
      <c r="E32" s="17">
        <f>VLOOKUP(A32,'ADM Data'!$A$2:$E$52,5,FALSE)</f>
        <v>0.189995</v>
      </c>
      <c r="F32" s="17">
        <f>VLOOKUP(A32,'ADM Data'!$A$2:$J$52,6,FALSE)</f>
        <v>257.76401700000002</v>
      </c>
      <c r="G32" s="17">
        <f>VLOOKUP(A32,'ADM Data'!$A$2:$J$52,7,FALSE)</f>
        <v>8.0541330000000002</v>
      </c>
      <c r="H32" s="17">
        <f>VLOOKUP(A32,'ADM Data'!$A$2:$J$52,8,FALSE)</f>
        <v>0.18113799999999999</v>
      </c>
      <c r="I32" s="17">
        <f>VLOOKUP(A32,'ADM Data'!$A$2:$J$52,9,FALSE)</f>
        <v>8.9159729999999993</v>
      </c>
      <c r="J32" s="17">
        <f>VLOOKUP(A32,'ADM Data'!$A$2:$J$52,10,FALSE)</f>
        <v>30.12208</v>
      </c>
      <c r="K32" s="1">
        <f t="shared" si="0"/>
        <v>332.37</v>
      </c>
      <c r="L32" s="1">
        <f t="shared" si="1"/>
        <v>1144261.1499999999</v>
      </c>
      <c r="M32" s="1">
        <f t="shared" si="2"/>
        <v>85898.12</v>
      </c>
      <c r="N32" s="1">
        <f t="shared" si="3"/>
        <v>2578.2353226847208</v>
      </c>
      <c r="O32" s="1">
        <f t="shared" si="4"/>
        <v>171859.71</v>
      </c>
      <c r="P32" s="1">
        <f t="shared" si="5"/>
        <v>855972.94</v>
      </c>
      <c r="Q32" s="1">
        <f t="shared" si="6"/>
        <v>2260902.525322685</v>
      </c>
      <c r="R32" s="17">
        <f t="shared" si="7"/>
        <v>305.22733599999998</v>
      </c>
    </row>
    <row r="33" spans="1:18" x14ac:dyDescent="0.25">
      <c r="A33" t="s">
        <v>157</v>
      </c>
      <c r="B33" t="s">
        <v>158</v>
      </c>
      <c r="C33" t="s">
        <v>229</v>
      </c>
      <c r="D33" s="15">
        <f>VLOOKUP(A33,'State Share Base Cost'!$A$3:$H$52,8,FALSE)</f>
        <v>0.86064178999999996</v>
      </c>
      <c r="E33" s="17">
        <f>VLOOKUP(A33,'ADM Data'!$A$2:$E$52,5,FALSE)</f>
        <v>0.25</v>
      </c>
      <c r="F33" s="17">
        <f>VLOOKUP(A33,'ADM Data'!$A$2:$J$52,6,FALSE)</f>
        <v>149.99245099999999</v>
      </c>
      <c r="G33" s="17">
        <f>VLOOKUP(A33,'ADM Data'!$A$2:$J$52,7,FALSE)</f>
        <v>2.5456029999999998</v>
      </c>
      <c r="H33" s="17">
        <f>VLOOKUP(A33,'ADM Data'!$A$2:$J$52,8,FALSE)</f>
        <v>0.45382699999999998</v>
      </c>
      <c r="I33" s="17">
        <f>VLOOKUP(A33,'ADM Data'!$A$2:$J$52,9,FALSE)</f>
        <v>11.228776</v>
      </c>
      <c r="J33" s="17">
        <f>VLOOKUP(A33,'ADM Data'!$A$2:$J$52,10,FALSE)</f>
        <v>17.378768999999998</v>
      </c>
      <c r="K33" s="1">
        <f t="shared" si="0"/>
        <v>431.79</v>
      </c>
      <c r="L33" s="1">
        <f t="shared" si="1"/>
        <v>657388.48</v>
      </c>
      <c r="M33" s="1">
        <f t="shared" si="2"/>
        <v>26804.36</v>
      </c>
      <c r="N33" s="1">
        <f t="shared" si="3"/>
        <v>6377.5392373138166</v>
      </c>
      <c r="O33" s="1">
        <f t="shared" si="4"/>
        <v>213691.66</v>
      </c>
      <c r="P33" s="1">
        <f t="shared" si="5"/>
        <v>487577.78</v>
      </c>
      <c r="Q33" s="1">
        <f t="shared" si="6"/>
        <v>1392271.6092373137</v>
      </c>
      <c r="R33" s="17">
        <f t="shared" si="7"/>
        <v>181.84942599999999</v>
      </c>
    </row>
    <row r="34" spans="1:18" x14ac:dyDescent="0.25">
      <c r="A34" t="s">
        <v>159</v>
      </c>
      <c r="B34" t="s">
        <v>160</v>
      </c>
      <c r="C34" t="s">
        <v>230</v>
      </c>
      <c r="D34" s="15">
        <f>VLOOKUP(A34,'State Share Base Cost'!$A$3:$H$52,8,FALSE)</f>
        <v>0.78580657099999995</v>
      </c>
      <c r="E34" s="17">
        <f>VLOOKUP(A34,'ADM Data'!$A$2:$E$52,5,FALSE)</f>
        <v>2.2968009999999999</v>
      </c>
      <c r="F34" s="17">
        <f>VLOOKUP(A34,'ADM Data'!$A$2:$J$52,6,FALSE)</f>
        <v>131.13606100000001</v>
      </c>
      <c r="G34" s="17">
        <f>VLOOKUP(A34,'ADM Data'!$A$2:$J$52,7,FALSE)</f>
        <v>6.9014660000000001</v>
      </c>
      <c r="H34" s="17">
        <f>VLOOKUP(A34,'ADM Data'!$A$2:$J$52,8,FALSE)</f>
        <v>0.159439</v>
      </c>
      <c r="I34" s="17">
        <f>VLOOKUP(A34,'ADM Data'!$A$2:$J$52,9,FALSE)</f>
        <v>3.3304390000000001</v>
      </c>
      <c r="J34" s="17">
        <f>VLOOKUP(A34,'ADM Data'!$A$2:$J$52,10,FALSE)</f>
        <v>15.253593</v>
      </c>
      <c r="K34" s="1">
        <f t="shared" si="0"/>
        <v>3622.01</v>
      </c>
      <c r="L34" s="1">
        <f t="shared" si="1"/>
        <v>524768.85</v>
      </c>
      <c r="M34" s="1">
        <f t="shared" si="2"/>
        <v>66351.27</v>
      </c>
      <c r="N34" s="1">
        <f t="shared" si="3"/>
        <v>2045.7407526754832</v>
      </c>
      <c r="O34" s="1">
        <f t="shared" si="4"/>
        <v>57869.52</v>
      </c>
      <c r="P34" s="1">
        <f t="shared" si="5"/>
        <v>390742.17</v>
      </c>
      <c r="Q34" s="1">
        <f t="shared" si="6"/>
        <v>1045399.5607526754</v>
      </c>
      <c r="R34" s="17">
        <f t="shared" si="7"/>
        <v>159.077799</v>
      </c>
    </row>
    <row r="35" spans="1:18" x14ac:dyDescent="0.25">
      <c r="A35" t="s">
        <v>161</v>
      </c>
      <c r="B35" t="s">
        <v>162</v>
      </c>
      <c r="C35" t="s">
        <v>231</v>
      </c>
      <c r="D35" s="15">
        <f>VLOOKUP(A35,'State Share Base Cost'!$A$3:$H$52,8,FALSE)</f>
        <v>0.71992725599999996</v>
      </c>
      <c r="E35" s="17">
        <f>VLOOKUP(A35,'ADM Data'!$A$2:$E$52,5,FALSE)</f>
        <v>1.816568</v>
      </c>
      <c r="F35" s="17">
        <f>VLOOKUP(A35,'ADM Data'!$A$2:$J$52,6,FALSE)</f>
        <v>181.069186</v>
      </c>
      <c r="G35" s="17">
        <f>VLOOKUP(A35,'ADM Data'!$A$2:$J$52,7,FALSE)</f>
        <v>8.0876610000000007</v>
      </c>
      <c r="H35" s="17">
        <f>VLOOKUP(A35,'ADM Data'!$A$2:$J$52,8,FALSE)</f>
        <v>1.1399999999999999</v>
      </c>
      <c r="I35" s="17">
        <f>VLOOKUP(A35,'ADM Data'!$A$2:$J$52,9,FALSE)</f>
        <v>2.1392000000000002</v>
      </c>
      <c r="J35" s="17">
        <f>VLOOKUP(A35,'ADM Data'!$A$2:$J$52,10,FALSE)</f>
        <v>20.576297</v>
      </c>
      <c r="K35" s="1">
        <f t="shared" si="0"/>
        <v>2624.53</v>
      </c>
      <c r="L35" s="1">
        <f t="shared" si="1"/>
        <v>663840</v>
      </c>
      <c r="M35" s="1">
        <f t="shared" si="2"/>
        <v>71236.7</v>
      </c>
      <c r="N35" s="1">
        <f t="shared" si="3"/>
        <v>13400.896288397316</v>
      </c>
      <c r="O35" s="1">
        <f t="shared" si="4"/>
        <v>34054.36</v>
      </c>
      <c r="P35" s="1">
        <f t="shared" si="5"/>
        <v>482901.22</v>
      </c>
      <c r="Q35" s="1">
        <f t="shared" si="6"/>
        <v>1268057.7062883973</v>
      </c>
      <c r="R35" s="17">
        <f t="shared" si="7"/>
        <v>214.82891199999997</v>
      </c>
    </row>
    <row r="36" spans="1:18" x14ac:dyDescent="0.25">
      <c r="A36" t="s">
        <v>163</v>
      </c>
      <c r="B36" t="s">
        <v>164</v>
      </c>
      <c r="C36" t="s">
        <v>232</v>
      </c>
      <c r="D36" s="15">
        <f>VLOOKUP(A36,'State Share Base Cost'!$A$3:$H$52,8,FALSE)</f>
        <v>0.90225197899999998</v>
      </c>
      <c r="E36" s="17">
        <f>VLOOKUP(A36,'ADM Data'!$A$2:$E$52,5,FALSE)</f>
        <v>1.4011670000000001</v>
      </c>
      <c r="F36" s="17">
        <f>VLOOKUP(A36,'ADM Data'!$A$2:$J$52,6,FALSE)</f>
        <v>145.092423</v>
      </c>
      <c r="G36" s="17">
        <f>VLOOKUP(A36,'ADM Data'!$A$2:$J$52,7,FALSE)</f>
        <v>7.4589759999999998</v>
      </c>
      <c r="H36" s="17">
        <f>VLOOKUP(A36,'ADM Data'!$A$2:$J$52,8,FALSE)</f>
        <v>0.04</v>
      </c>
      <c r="I36" s="17">
        <f>VLOOKUP(A36,'ADM Data'!$A$2:$J$52,9,FALSE)</f>
        <v>13.740847</v>
      </c>
      <c r="J36" s="17">
        <f>VLOOKUP(A36,'ADM Data'!$A$2:$J$52,10,FALSE)</f>
        <v>8.0929699999999993</v>
      </c>
      <c r="K36" s="1">
        <f t="shared" si="0"/>
        <v>2537.0500000000002</v>
      </c>
      <c r="L36" s="1">
        <f t="shared" si="1"/>
        <v>666657.6</v>
      </c>
      <c r="M36" s="1">
        <f t="shared" si="2"/>
        <v>82337.81</v>
      </c>
      <c r="N36" s="1">
        <f t="shared" si="3"/>
        <v>589.28883589434543</v>
      </c>
      <c r="O36" s="1">
        <f t="shared" si="4"/>
        <v>274141.05</v>
      </c>
      <c r="P36" s="1">
        <f t="shared" si="5"/>
        <v>238033.59</v>
      </c>
      <c r="Q36" s="1">
        <f t="shared" si="6"/>
        <v>1264296.3888358944</v>
      </c>
      <c r="R36" s="17">
        <f t="shared" si="7"/>
        <v>175.82638299999999</v>
      </c>
    </row>
    <row r="37" spans="1:18" x14ac:dyDescent="0.25">
      <c r="A37" t="s">
        <v>165</v>
      </c>
      <c r="B37" t="s">
        <v>166</v>
      </c>
      <c r="C37" t="s">
        <v>233</v>
      </c>
      <c r="D37" s="15">
        <f>VLOOKUP(A37,'State Share Base Cost'!$A$3:$H$52,8,FALSE)</f>
        <v>0.81176011400000003</v>
      </c>
      <c r="E37" s="17">
        <f>VLOOKUP(A37,'ADM Data'!$A$2:$E$52,5,FALSE)</f>
        <v>0</v>
      </c>
      <c r="F37" s="17">
        <f>VLOOKUP(A37,'ADM Data'!$A$2:$J$52,6,FALSE)</f>
        <v>120.789751</v>
      </c>
      <c r="G37" s="17">
        <f>VLOOKUP(A37,'ADM Data'!$A$2:$J$52,7,FALSE)</f>
        <v>5</v>
      </c>
      <c r="H37" s="17">
        <f>VLOOKUP(A37,'ADM Data'!$A$2:$J$52,8,FALSE)</f>
        <v>1</v>
      </c>
      <c r="I37" s="17">
        <f>VLOOKUP(A37,'ADM Data'!$A$2:$J$52,9,FALSE)</f>
        <v>6.14</v>
      </c>
      <c r="J37" s="17">
        <f>VLOOKUP(A37,'ADM Data'!$A$2:$J$52,10,FALSE)</f>
        <v>18.630348999999999</v>
      </c>
      <c r="K37" s="1">
        <f t="shared" si="0"/>
        <v>0</v>
      </c>
      <c r="L37" s="1">
        <f t="shared" si="1"/>
        <v>499330.45</v>
      </c>
      <c r="M37" s="1">
        <f t="shared" si="2"/>
        <v>49658.09</v>
      </c>
      <c r="N37" s="1">
        <f t="shared" si="3"/>
        <v>13254.644593151985</v>
      </c>
      <c r="O37" s="1">
        <f t="shared" si="4"/>
        <v>110211.98</v>
      </c>
      <c r="P37" s="1">
        <f t="shared" si="5"/>
        <v>493004.82</v>
      </c>
      <c r="Q37" s="1">
        <f t="shared" si="6"/>
        <v>1165459.9845931521</v>
      </c>
      <c r="R37" s="17">
        <f t="shared" si="7"/>
        <v>151.56009999999998</v>
      </c>
    </row>
    <row r="38" spans="1:18" x14ac:dyDescent="0.25">
      <c r="A38" t="s">
        <v>167</v>
      </c>
      <c r="B38" t="s">
        <v>168</v>
      </c>
      <c r="C38" t="s">
        <v>234</v>
      </c>
      <c r="D38" s="15">
        <f>VLOOKUP(A38,'State Share Base Cost'!$A$3:$H$52,8,FALSE)</f>
        <v>0.77371397099999994</v>
      </c>
      <c r="E38" s="17">
        <f>VLOOKUP(A38,'ADM Data'!$A$2:$E$52,5,FALSE)</f>
        <v>0</v>
      </c>
      <c r="F38" s="17">
        <f>VLOOKUP(A38,'ADM Data'!$A$2:$J$52,6,FALSE)</f>
        <v>142.44101000000001</v>
      </c>
      <c r="G38" s="17">
        <f>VLOOKUP(A38,'ADM Data'!$A$2:$J$52,7,FALSE)</f>
        <v>3.2055560000000001</v>
      </c>
      <c r="H38" s="17">
        <f>VLOOKUP(A38,'ADM Data'!$A$2:$J$52,8,FALSE)</f>
        <v>1</v>
      </c>
      <c r="I38" s="17">
        <f>VLOOKUP(A38,'ADM Data'!$A$2:$J$52,9,FALSE)</f>
        <v>6.3483150000000004</v>
      </c>
      <c r="J38" s="17">
        <f>VLOOKUP(A38,'ADM Data'!$A$2:$J$52,10,FALSE)</f>
        <v>17.865917</v>
      </c>
      <c r="K38" s="1">
        <f t="shared" si="0"/>
        <v>0</v>
      </c>
      <c r="L38" s="1">
        <f t="shared" si="1"/>
        <v>561236.28</v>
      </c>
      <c r="M38" s="1">
        <f t="shared" si="2"/>
        <v>30344.23</v>
      </c>
      <c r="N38" s="1">
        <f t="shared" si="3"/>
        <v>12633.416603616595</v>
      </c>
      <c r="O38" s="1">
        <f t="shared" si="4"/>
        <v>108610.46</v>
      </c>
      <c r="P38" s="1">
        <f t="shared" si="5"/>
        <v>450617.67</v>
      </c>
      <c r="Q38" s="1">
        <f t="shared" si="6"/>
        <v>1163442.0566036166</v>
      </c>
      <c r="R38" s="17">
        <f t="shared" si="7"/>
        <v>170.86079800000002</v>
      </c>
    </row>
    <row r="39" spans="1:18" x14ac:dyDescent="0.25">
      <c r="A39" t="s">
        <v>169</v>
      </c>
      <c r="B39" t="s">
        <v>170</v>
      </c>
      <c r="C39" t="s">
        <v>235</v>
      </c>
      <c r="D39" s="15">
        <f>VLOOKUP(A39,'State Share Base Cost'!$A$3:$H$52,8,FALSE)</f>
        <v>0.79116920099999999</v>
      </c>
      <c r="E39" s="17">
        <f>VLOOKUP(A39,'ADM Data'!$A$2:$E$52,5,FALSE)</f>
        <v>0</v>
      </c>
      <c r="F39" s="17">
        <f>VLOOKUP(A39,'ADM Data'!$A$2:$J$52,6,FALSE)</f>
        <v>168.058561</v>
      </c>
      <c r="G39" s="17">
        <f>VLOOKUP(A39,'ADM Data'!$A$2:$J$52,7,FALSE)</f>
        <v>11.015393</v>
      </c>
      <c r="H39" s="17">
        <f>VLOOKUP(A39,'ADM Data'!$A$2:$J$52,8,FALSE)</f>
        <v>1</v>
      </c>
      <c r="I39" s="17">
        <f>VLOOKUP(A39,'ADM Data'!$A$2:$J$52,9,FALSE)</f>
        <v>7</v>
      </c>
      <c r="J39" s="17">
        <f>VLOOKUP(A39,'ADM Data'!$A$2:$J$52,10,FALSE)</f>
        <v>21.696629000000001</v>
      </c>
      <c r="K39" s="1">
        <f t="shared" si="0"/>
        <v>0</v>
      </c>
      <c r="L39" s="1">
        <f t="shared" si="1"/>
        <v>677111.62</v>
      </c>
      <c r="M39" s="1">
        <f t="shared" si="2"/>
        <v>106625.63</v>
      </c>
      <c r="N39" s="1">
        <f t="shared" si="3"/>
        <v>12918.430446932534</v>
      </c>
      <c r="O39" s="1">
        <f t="shared" si="4"/>
        <v>122461.66</v>
      </c>
      <c r="P39" s="1">
        <f t="shared" si="5"/>
        <v>559582.47</v>
      </c>
      <c r="Q39" s="1">
        <f t="shared" si="6"/>
        <v>1478699.8104469324</v>
      </c>
      <c r="R39" s="17">
        <f t="shared" si="7"/>
        <v>208.77058299999999</v>
      </c>
    </row>
    <row r="40" spans="1:18" x14ac:dyDescent="0.25">
      <c r="A40" t="s">
        <v>171</v>
      </c>
      <c r="B40" t="s">
        <v>172</v>
      </c>
      <c r="C40" t="s">
        <v>236</v>
      </c>
      <c r="D40" s="15">
        <f>VLOOKUP(A40,'State Share Base Cost'!$A$3:$H$52,8,FALSE)</f>
        <v>0.75028848400000003</v>
      </c>
      <c r="E40" s="17">
        <f>VLOOKUP(A40,'ADM Data'!$A$2:$E$52,5,FALSE)</f>
        <v>0</v>
      </c>
      <c r="F40" s="17">
        <f>VLOOKUP(A40,'ADM Data'!$A$2:$J$52,6,FALSE)</f>
        <v>177.99086199999999</v>
      </c>
      <c r="G40" s="17">
        <f>VLOOKUP(A40,'ADM Data'!$A$2:$J$52,7,FALSE)</f>
        <v>5.8120750000000001</v>
      </c>
      <c r="H40" s="17">
        <f>VLOOKUP(A40,'ADM Data'!$A$2:$J$52,8,FALSE)</f>
        <v>0.12</v>
      </c>
      <c r="I40" s="17">
        <f>VLOOKUP(A40,'ADM Data'!$A$2:$J$52,9,FALSE)</f>
        <v>8.9664800000000007</v>
      </c>
      <c r="J40" s="17">
        <f>VLOOKUP(A40,'ADM Data'!$A$2:$J$52,10,FALSE)</f>
        <v>13.862983</v>
      </c>
      <c r="K40" s="1">
        <f t="shared" si="0"/>
        <v>0</v>
      </c>
      <c r="L40" s="1">
        <f t="shared" si="1"/>
        <v>680074.11</v>
      </c>
      <c r="M40" s="1">
        <f t="shared" si="2"/>
        <v>53352.13</v>
      </c>
      <c r="N40" s="1">
        <f t="shared" si="3"/>
        <v>1470.1102495047887</v>
      </c>
      <c r="O40" s="1">
        <f t="shared" si="4"/>
        <v>148758.91</v>
      </c>
      <c r="P40" s="1">
        <f t="shared" si="5"/>
        <v>339068.5</v>
      </c>
      <c r="Q40" s="1">
        <f t="shared" si="6"/>
        <v>1222723.7602495048</v>
      </c>
      <c r="R40" s="17">
        <f t="shared" si="7"/>
        <v>206.75239999999997</v>
      </c>
    </row>
    <row r="41" spans="1:18" x14ac:dyDescent="0.25">
      <c r="A41" t="s">
        <v>173</v>
      </c>
      <c r="B41" t="s">
        <v>174</v>
      </c>
      <c r="C41" t="s">
        <v>237</v>
      </c>
      <c r="D41" s="15">
        <f>VLOOKUP(A41,'State Share Base Cost'!$A$3:$H$52,8,FALSE)</f>
        <v>0.81681689599999996</v>
      </c>
      <c r="E41" s="17">
        <f>VLOOKUP(A41,'ADM Data'!$A$2:$E$52,5,FALSE)</f>
        <v>0</v>
      </c>
      <c r="F41" s="17">
        <f>VLOOKUP(A41,'ADM Data'!$A$2:$J$52,6,FALSE)</f>
        <v>97.603294000000005</v>
      </c>
      <c r="G41" s="17">
        <f>VLOOKUP(A41,'ADM Data'!$A$2:$J$52,7,FALSE)</f>
        <v>4.3025640000000003</v>
      </c>
      <c r="H41" s="17">
        <f>VLOOKUP(A41,'ADM Data'!$A$2:$J$52,8,FALSE)</f>
        <v>2</v>
      </c>
      <c r="I41" s="17">
        <f>VLOOKUP(A41,'ADM Data'!$A$2:$J$52,9,FALSE)</f>
        <v>0.13957</v>
      </c>
      <c r="J41" s="17">
        <f>VLOOKUP(A41,'ADM Data'!$A$2:$J$52,10,FALSE)</f>
        <v>3.1395780000000002</v>
      </c>
      <c r="K41" s="1">
        <f t="shared" si="0"/>
        <v>0</v>
      </c>
      <c r="L41" s="1">
        <f t="shared" si="1"/>
        <v>405993.84</v>
      </c>
      <c r="M41" s="1">
        <f t="shared" si="2"/>
        <v>42997.61</v>
      </c>
      <c r="N41" s="1">
        <f t="shared" si="3"/>
        <v>26674.426268156323</v>
      </c>
      <c r="O41" s="1">
        <f t="shared" si="4"/>
        <v>2520.86</v>
      </c>
      <c r="P41" s="1">
        <f t="shared" si="5"/>
        <v>83598.490000000005</v>
      </c>
      <c r="Q41" s="1">
        <f t="shared" si="6"/>
        <v>561785.22626815632</v>
      </c>
      <c r="R41" s="17">
        <f t="shared" si="7"/>
        <v>107.18500600000002</v>
      </c>
    </row>
    <row r="42" spans="1:18" x14ac:dyDescent="0.25">
      <c r="A42" t="s">
        <v>175</v>
      </c>
      <c r="B42" t="s">
        <v>176</v>
      </c>
      <c r="C42" t="s">
        <v>238</v>
      </c>
      <c r="D42" s="15">
        <f>VLOOKUP(A42,'State Share Base Cost'!$A$3:$H$52,8,FALSE)</f>
        <v>0.82589885299999999</v>
      </c>
      <c r="E42" s="17">
        <f>VLOOKUP(A42,'ADM Data'!$A$2:$E$52,5,FALSE)</f>
        <v>0</v>
      </c>
      <c r="F42" s="17">
        <f>VLOOKUP(A42,'ADM Data'!$A$2:$J$52,6,FALSE)</f>
        <v>102.46945100000001</v>
      </c>
      <c r="G42" s="17">
        <f>VLOOKUP(A42,'ADM Data'!$A$2:$J$52,7,FALSE)</f>
        <v>4.2555560000000003</v>
      </c>
      <c r="H42" s="17">
        <f>VLOOKUP(A42,'ADM Data'!$A$2:$J$52,8,FALSE)</f>
        <v>2.0219779999999998</v>
      </c>
      <c r="I42" s="17">
        <f>VLOOKUP(A42,'ADM Data'!$A$2:$J$52,9,FALSE)</f>
        <v>1</v>
      </c>
      <c r="J42" s="17">
        <f>VLOOKUP(A42,'ADM Data'!$A$2:$J$52,10,FALSE)</f>
        <v>4.5</v>
      </c>
      <c r="K42" s="1">
        <f t="shared" si="0"/>
        <v>0</v>
      </c>
      <c r="L42" s="1">
        <f t="shared" si="1"/>
        <v>430974.45</v>
      </c>
      <c r="M42" s="1">
        <f t="shared" si="2"/>
        <v>43000.69</v>
      </c>
      <c r="N42" s="1">
        <f t="shared" si="3"/>
        <v>27267.396148226908</v>
      </c>
      <c r="O42" s="1">
        <f t="shared" si="4"/>
        <v>18262.47</v>
      </c>
      <c r="P42" s="1">
        <f t="shared" si="5"/>
        <v>121155.14</v>
      </c>
      <c r="Q42" s="1">
        <f t="shared" si="6"/>
        <v>640660.14614822692</v>
      </c>
      <c r="R42" s="17">
        <f t="shared" si="7"/>
        <v>114.24698500000001</v>
      </c>
    </row>
    <row r="43" spans="1:18" x14ac:dyDescent="0.25">
      <c r="A43" t="s">
        <v>177</v>
      </c>
      <c r="B43" t="s">
        <v>178</v>
      </c>
      <c r="C43" t="s">
        <v>239</v>
      </c>
      <c r="D43" s="15">
        <f>VLOOKUP(A43,'State Share Base Cost'!$A$3:$H$52,8,FALSE)</f>
        <v>0.75098667799999996</v>
      </c>
      <c r="E43" s="17">
        <f>VLOOKUP(A43,'ADM Data'!$A$2:$E$52,5,FALSE)</f>
        <v>1</v>
      </c>
      <c r="F43" s="17">
        <f>VLOOKUP(A43,'ADM Data'!$A$2:$J$52,6,FALSE)</f>
        <v>135.64089899999999</v>
      </c>
      <c r="G43" s="17">
        <f>VLOOKUP(A43,'ADM Data'!$A$2:$J$52,7,FALSE)</f>
        <v>5.8522730000000003</v>
      </c>
      <c r="H43" s="17">
        <f>VLOOKUP(A43,'ADM Data'!$A$2:$J$52,8,FALSE)</f>
        <v>0.19425300000000001</v>
      </c>
      <c r="I43" s="17">
        <f>VLOOKUP(A43,'ADM Data'!$A$2:$J$52,9,FALSE)</f>
        <v>2.6789770000000002</v>
      </c>
      <c r="J43" s="17">
        <f>VLOOKUP(A43,'ADM Data'!$A$2:$J$52,10,FALSE)</f>
        <v>13.664773</v>
      </c>
      <c r="K43" s="1">
        <f t="shared" si="0"/>
        <v>1507.1</v>
      </c>
      <c r="L43" s="1">
        <f t="shared" si="1"/>
        <v>518744.07</v>
      </c>
      <c r="M43" s="1">
        <f t="shared" si="2"/>
        <v>53771.12</v>
      </c>
      <c r="N43" s="1">
        <f t="shared" si="3"/>
        <v>2381.9922626947227</v>
      </c>
      <c r="O43" s="1">
        <f t="shared" si="4"/>
        <v>44487.09</v>
      </c>
      <c r="P43" s="1">
        <f t="shared" si="5"/>
        <v>334531.58</v>
      </c>
      <c r="Q43" s="1">
        <f t="shared" si="6"/>
        <v>955422.95226269471</v>
      </c>
      <c r="R43" s="17">
        <f t="shared" si="7"/>
        <v>159.03117499999999</v>
      </c>
    </row>
    <row r="44" spans="1:18" x14ac:dyDescent="0.25">
      <c r="A44" t="s">
        <v>179</v>
      </c>
      <c r="B44" t="s">
        <v>180</v>
      </c>
      <c r="C44" t="s">
        <v>240</v>
      </c>
      <c r="D44" s="15">
        <f>VLOOKUP(A44,'State Share Base Cost'!$A$3:$H$52,8,FALSE)</f>
        <v>0.86114894399999997</v>
      </c>
      <c r="E44" s="17">
        <f>VLOOKUP(A44,'ADM Data'!$A$2:$E$52,5,FALSE)</f>
        <v>0</v>
      </c>
      <c r="F44" s="17">
        <f>VLOOKUP(A44,'ADM Data'!$A$2:$J$52,6,FALSE)</f>
        <v>134.985366</v>
      </c>
      <c r="G44" s="17">
        <f>VLOOKUP(A44,'ADM Data'!$A$2:$J$52,7,FALSE)</f>
        <v>3.55</v>
      </c>
      <c r="H44" s="17">
        <f>VLOOKUP(A44,'ADM Data'!$A$2:$J$52,8,FALSE)</f>
        <v>1</v>
      </c>
      <c r="I44" s="17">
        <f>VLOOKUP(A44,'ADM Data'!$A$2:$J$52,9,FALSE)</f>
        <v>0</v>
      </c>
      <c r="J44" s="17">
        <f>VLOOKUP(A44,'ADM Data'!$A$2:$J$52,10,FALSE)</f>
        <v>7.5</v>
      </c>
      <c r="K44" s="1">
        <f t="shared" si="0"/>
        <v>0</v>
      </c>
      <c r="L44" s="1">
        <f t="shared" si="1"/>
        <v>591963.89</v>
      </c>
      <c r="M44" s="1">
        <f t="shared" si="2"/>
        <v>37402.35</v>
      </c>
      <c r="N44" s="1">
        <f t="shared" si="3"/>
        <v>14061.079126250517</v>
      </c>
      <c r="O44" s="1">
        <f t="shared" si="4"/>
        <v>0</v>
      </c>
      <c r="P44" s="1">
        <f t="shared" si="5"/>
        <v>210543.58</v>
      </c>
      <c r="Q44" s="1">
        <f t="shared" si="6"/>
        <v>853970.89912625041</v>
      </c>
      <c r="R44" s="17">
        <f t="shared" si="7"/>
        <v>147.03536600000001</v>
      </c>
    </row>
    <row r="45" spans="1:18" x14ac:dyDescent="0.25">
      <c r="A45" t="s">
        <v>181</v>
      </c>
      <c r="B45" t="s">
        <v>182</v>
      </c>
      <c r="C45" t="s">
        <v>241</v>
      </c>
      <c r="D45" s="15">
        <f>VLOOKUP(A45,'State Share Base Cost'!$A$3:$H$52,8,FALSE)</f>
        <v>0.801272965</v>
      </c>
      <c r="E45" s="17">
        <f>VLOOKUP(A45,'ADM Data'!$A$2:$E$52,5,FALSE)</f>
        <v>0.14000000000000001</v>
      </c>
      <c r="F45" s="17">
        <f>VLOOKUP(A45,'ADM Data'!$A$2:$J$52,6,FALSE)</f>
        <v>85.254272999999998</v>
      </c>
      <c r="G45" s="17">
        <f>VLOOKUP(A45,'ADM Data'!$A$2:$J$52,7,FALSE)</f>
        <v>3.1686049999999999</v>
      </c>
      <c r="H45" s="17">
        <f>VLOOKUP(A45,'ADM Data'!$A$2:$J$52,8,FALSE)</f>
        <v>0</v>
      </c>
      <c r="I45" s="17">
        <f>VLOOKUP(A45,'ADM Data'!$A$2:$J$52,9,FALSE)</f>
        <v>2.2799999999999998</v>
      </c>
      <c r="J45" s="17">
        <f>VLOOKUP(A45,'ADM Data'!$A$2:$J$52,10,FALSE)</f>
        <v>3.682712</v>
      </c>
      <c r="K45" s="1">
        <f t="shared" si="0"/>
        <v>225.12</v>
      </c>
      <c r="L45" s="1">
        <f t="shared" si="1"/>
        <v>347877.95</v>
      </c>
      <c r="M45" s="1">
        <f t="shared" si="2"/>
        <v>31062.82</v>
      </c>
      <c r="N45" s="1">
        <f t="shared" si="3"/>
        <v>0</v>
      </c>
      <c r="O45" s="1">
        <f t="shared" si="4"/>
        <v>40396.9</v>
      </c>
      <c r="P45" s="1">
        <f t="shared" si="5"/>
        <v>96194.6</v>
      </c>
      <c r="Q45" s="1">
        <f t="shared" si="6"/>
        <v>515757.39</v>
      </c>
      <c r="R45" s="17">
        <f t="shared" si="7"/>
        <v>94.525589999999994</v>
      </c>
    </row>
    <row r="46" spans="1:18" x14ac:dyDescent="0.25">
      <c r="A46" t="s">
        <v>183</v>
      </c>
      <c r="B46" t="s">
        <v>184</v>
      </c>
      <c r="C46" t="s">
        <v>242</v>
      </c>
      <c r="D46" s="15">
        <f>VLOOKUP(A46,'State Share Base Cost'!$A$3:$H$52,8,FALSE)</f>
        <v>0.84200482499999996</v>
      </c>
      <c r="E46" s="17">
        <f>VLOOKUP(A46,'ADM Data'!$A$2:$E$52,5,FALSE)</f>
        <v>0</v>
      </c>
      <c r="F46" s="17">
        <f>VLOOKUP(A46,'ADM Data'!$A$2:$J$52,6,FALSE)</f>
        <v>114.419882</v>
      </c>
      <c r="G46" s="17">
        <f>VLOOKUP(A46,'ADM Data'!$A$2:$J$52,7,FALSE)</f>
        <v>3.3610319999999998</v>
      </c>
      <c r="H46" s="17">
        <f>VLOOKUP(A46,'ADM Data'!$A$2:$J$52,8,FALSE)</f>
        <v>4.5885000000000002E-2</v>
      </c>
      <c r="I46" s="17">
        <f>VLOOKUP(A46,'ADM Data'!$A$2:$J$52,9,FALSE)</f>
        <v>11.375733</v>
      </c>
      <c r="J46" s="17">
        <f>VLOOKUP(A46,'ADM Data'!$A$2:$J$52,10,FALSE)</f>
        <v>13.958335999999999</v>
      </c>
      <c r="K46" s="1">
        <f t="shared" si="0"/>
        <v>0</v>
      </c>
      <c r="L46" s="1">
        <f t="shared" si="1"/>
        <v>490621.22</v>
      </c>
      <c r="M46" s="1">
        <f t="shared" si="2"/>
        <v>34624.18</v>
      </c>
      <c r="N46" s="1">
        <f t="shared" si="3"/>
        <v>630.84940098412403</v>
      </c>
      <c r="O46" s="1">
        <f t="shared" si="4"/>
        <v>211800.36</v>
      </c>
      <c r="P46" s="1">
        <f t="shared" si="5"/>
        <v>383134</v>
      </c>
      <c r="Q46" s="1">
        <f t="shared" si="6"/>
        <v>1120810.6094009841</v>
      </c>
      <c r="R46" s="17">
        <f t="shared" si="7"/>
        <v>143.16086799999999</v>
      </c>
    </row>
    <row r="47" spans="1:18" x14ac:dyDescent="0.25">
      <c r="A47" t="s">
        <v>185</v>
      </c>
      <c r="B47" t="s">
        <v>186</v>
      </c>
      <c r="C47" t="s">
        <v>243</v>
      </c>
      <c r="D47" s="15">
        <f>VLOOKUP(A47,'State Share Base Cost'!$A$3:$H$52,8,FALSE)</f>
        <v>0.69941285600000003</v>
      </c>
      <c r="E47" s="17">
        <f>VLOOKUP(A47,'ADM Data'!$A$2:$E$52,5,FALSE)</f>
        <v>0.25707799999999997</v>
      </c>
      <c r="F47" s="17">
        <f>VLOOKUP(A47,'ADM Data'!$A$2:$J$52,6,FALSE)</f>
        <v>124.180471</v>
      </c>
      <c r="G47" s="17">
        <f>VLOOKUP(A47,'ADM Data'!$A$2:$J$52,7,FALSE)</f>
        <v>8.9057870000000001</v>
      </c>
      <c r="H47" s="17">
        <f>VLOOKUP(A47,'ADM Data'!$A$2:$J$52,8,FALSE)</f>
        <v>0.12853899999999999</v>
      </c>
      <c r="I47" s="17">
        <f>VLOOKUP(A47,'ADM Data'!$A$2:$J$52,9,FALSE)</f>
        <v>4.3470219999999999</v>
      </c>
      <c r="J47" s="17">
        <f>VLOOKUP(A47,'ADM Data'!$A$2:$J$52,10,FALSE)</f>
        <v>15.495953</v>
      </c>
      <c r="K47" s="1">
        <f t="shared" si="0"/>
        <v>360.84</v>
      </c>
      <c r="L47" s="1">
        <f t="shared" si="1"/>
        <v>442300.23</v>
      </c>
      <c r="M47" s="1">
        <f t="shared" si="2"/>
        <v>76207.58</v>
      </c>
      <c r="N47" s="1">
        <f t="shared" si="3"/>
        <v>1467.942034116885</v>
      </c>
      <c r="O47" s="1">
        <f t="shared" si="4"/>
        <v>67229.240000000005</v>
      </c>
      <c r="P47" s="1">
        <f t="shared" si="5"/>
        <v>353308.73</v>
      </c>
      <c r="Q47" s="1">
        <f t="shared" si="6"/>
        <v>940874.56203411694</v>
      </c>
      <c r="R47" s="17">
        <f t="shared" si="7"/>
        <v>153.31484999999998</v>
      </c>
    </row>
    <row r="48" spans="1:18" x14ac:dyDescent="0.25">
      <c r="A48" t="s">
        <v>187</v>
      </c>
      <c r="B48" t="s">
        <v>188</v>
      </c>
      <c r="C48" t="s">
        <v>244</v>
      </c>
      <c r="D48" s="15">
        <f>VLOOKUP(A48,'State Share Base Cost'!$A$3:$H$52,8,FALSE)</f>
        <v>0.88275909600000002</v>
      </c>
      <c r="E48" s="17">
        <f>VLOOKUP(A48,'ADM Data'!$A$2:$E$52,5,FALSE)</f>
        <v>0.17241699999999999</v>
      </c>
      <c r="F48" s="17">
        <f>VLOOKUP(A48,'ADM Data'!$A$2:$J$52,6,FALSE)</f>
        <v>230.870284</v>
      </c>
      <c r="G48" s="17">
        <f>VLOOKUP(A48,'ADM Data'!$A$2:$J$52,7,FALSE)</f>
        <v>6.7483449999999996</v>
      </c>
      <c r="H48" s="17">
        <f>VLOOKUP(A48,'ADM Data'!$A$2:$J$52,8,FALSE)</f>
        <v>0.77</v>
      </c>
      <c r="I48" s="17">
        <f>VLOOKUP(A48,'ADM Data'!$A$2:$J$52,9,FALSE)</f>
        <v>16.706966000000001</v>
      </c>
      <c r="J48" s="17">
        <f>VLOOKUP(A48,'ADM Data'!$A$2:$J$52,10,FALSE)</f>
        <v>17.359551</v>
      </c>
      <c r="K48" s="1">
        <f t="shared" si="0"/>
        <v>305.45</v>
      </c>
      <c r="L48" s="1">
        <f t="shared" si="1"/>
        <v>1037864.11</v>
      </c>
      <c r="M48" s="1">
        <f t="shared" si="2"/>
        <v>72883.92</v>
      </c>
      <c r="N48" s="1">
        <f t="shared" si="3"/>
        <v>11098.730481251683</v>
      </c>
      <c r="O48" s="1">
        <f t="shared" si="4"/>
        <v>326116.31</v>
      </c>
      <c r="P48" s="1">
        <f t="shared" si="5"/>
        <v>499554.83</v>
      </c>
      <c r="Q48" s="1">
        <f t="shared" si="6"/>
        <v>1947823.3504812517</v>
      </c>
      <c r="R48" s="17">
        <f t="shared" si="7"/>
        <v>272.62756300000001</v>
      </c>
    </row>
    <row r="49" spans="1:18" x14ac:dyDescent="0.25">
      <c r="A49" t="s">
        <v>189</v>
      </c>
      <c r="B49" t="s">
        <v>190</v>
      </c>
      <c r="C49" t="s">
        <v>245</v>
      </c>
      <c r="D49" s="15">
        <f>VLOOKUP(A49,'State Share Base Cost'!$A$3:$H$52,8,FALSE)</f>
        <v>0.90410549699999998</v>
      </c>
      <c r="E49" s="17">
        <f>VLOOKUP(A49,'ADM Data'!$A$2:$E$52,5,FALSE)</f>
        <v>0.15</v>
      </c>
      <c r="F49" s="17">
        <f>VLOOKUP(A49,'ADM Data'!$A$2:$J$52,6,FALSE)</f>
        <v>76.397283000000002</v>
      </c>
      <c r="G49" s="17">
        <f>VLOOKUP(A49,'ADM Data'!$A$2:$J$52,7,FALSE)</f>
        <v>4.8157300000000003</v>
      </c>
      <c r="H49" s="17">
        <f>VLOOKUP(A49,'ADM Data'!$A$2:$J$52,8,FALSE)</f>
        <v>0</v>
      </c>
      <c r="I49" s="17">
        <f>VLOOKUP(A49,'ADM Data'!$A$2:$J$52,9,FALSE)</f>
        <v>0.47742899999999999</v>
      </c>
      <c r="J49" s="17">
        <f>VLOOKUP(A49,'ADM Data'!$A$2:$J$52,10,FALSE)</f>
        <v>7.9350459999999998</v>
      </c>
      <c r="K49" s="1">
        <f t="shared" si="0"/>
        <v>272.16000000000003</v>
      </c>
      <c r="L49" s="1">
        <f t="shared" si="1"/>
        <v>351744.47</v>
      </c>
      <c r="M49" s="1">
        <f t="shared" si="2"/>
        <v>53268.87</v>
      </c>
      <c r="N49" s="1">
        <f t="shared" si="3"/>
        <v>0</v>
      </c>
      <c r="O49" s="1">
        <f t="shared" si="4"/>
        <v>9544.66</v>
      </c>
      <c r="P49" s="1">
        <f t="shared" si="5"/>
        <v>233868.12</v>
      </c>
      <c r="Q49" s="1">
        <f t="shared" si="6"/>
        <v>648698.27999999991</v>
      </c>
      <c r="R49" s="17">
        <f t="shared" si="7"/>
        <v>89.77548800000001</v>
      </c>
    </row>
    <row r="50" spans="1:18" x14ac:dyDescent="0.25">
      <c r="A50" t="s">
        <v>191</v>
      </c>
      <c r="B50" t="s">
        <v>192</v>
      </c>
      <c r="C50" t="s">
        <v>246</v>
      </c>
      <c r="D50" s="15">
        <f>VLOOKUP(A50,'State Share Base Cost'!$A$3:$H$52,8,FALSE)</f>
        <v>0.72042290600000003</v>
      </c>
      <c r="E50" s="17">
        <f>VLOOKUP(A50,'ADM Data'!$A$2:$E$52,5,FALSE)</f>
        <v>1.4</v>
      </c>
      <c r="F50" s="17">
        <f>VLOOKUP(A50,'ADM Data'!$A$2:$J$52,6,FALSE)</f>
        <v>53.101694000000002</v>
      </c>
      <c r="G50" s="17">
        <f>VLOOKUP(A50,'ADM Data'!$A$2:$J$52,7,FALSE)</f>
        <v>2.2999999999999998</v>
      </c>
      <c r="H50" s="17">
        <f>VLOOKUP(A50,'ADM Data'!$A$2:$J$52,8,FALSE)</f>
        <v>0</v>
      </c>
      <c r="I50" s="17">
        <f>VLOOKUP(A50,'ADM Data'!$A$2:$J$52,9,FALSE)</f>
        <v>0</v>
      </c>
      <c r="J50" s="17">
        <f>VLOOKUP(A50,'ADM Data'!$A$2:$J$52,10,FALSE)</f>
        <v>2.754972</v>
      </c>
      <c r="K50" s="1">
        <f t="shared" si="0"/>
        <v>2024.07</v>
      </c>
      <c r="L50" s="1">
        <f t="shared" si="1"/>
        <v>194816.68</v>
      </c>
      <c r="M50" s="1">
        <f t="shared" si="2"/>
        <v>20272.509999999998</v>
      </c>
      <c r="N50" s="1">
        <f t="shared" si="3"/>
        <v>0</v>
      </c>
      <c r="O50" s="1">
        <f t="shared" si="4"/>
        <v>0</v>
      </c>
      <c r="P50" s="1">
        <f t="shared" si="5"/>
        <v>64700.43</v>
      </c>
      <c r="Q50" s="1">
        <f t="shared" si="6"/>
        <v>281813.69</v>
      </c>
      <c r="R50" s="17">
        <f t="shared" si="7"/>
        <v>59.556666</v>
      </c>
    </row>
    <row r="51" spans="1:18" x14ac:dyDescent="0.25">
      <c r="A51" t="s">
        <v>193</v>
      </c>
      <c r="B51" t="s">
        <v>194</v>
      </c>
      <c r="C51" t="s">
        <v>247</v>
      </c>
      <c r="D51" s="15">
        <f>VLOOKUP(A51,'State Share Base Cost'!$A$3:$H$52,8,FALSE)</f>
        <v>0.41486646700000002</v>
      </c>
      <c r="E51" s="17">
        <f>VLOOKUP(A51,'ADM Data'!$A$2:$E$52,5,FALSE)</f>
        <v>0.421373</v>
      </c>
      <c r="F51" s="17">
        <f>VLOOKUP(A51,'ADM Data'!$A$2:$J$52,6,FALSE)</f>
        <v>195.69344799999999</v>
      </c>
      <c r="G51" s="17">
        <f>VLOOKUP(A51,'ADM Data'!$A$2:$J$52,7,FALSE)</f>
        <v>10.253062999999999</v>
      </c>
      <c r="H51" s="17">
        <f>VLOOKUP(A51,'ADM Data'!$A$2:$J$52,8,FALSE)</f>
        <v>0.56000000000000005</v>
      </c>
      <c r="I51" s="17">
        <f>VLOOKUP(A51,'ADM Data'!$A$2:$J$52,9,FALSE)</f>
        <v>2.1356E-2</v>
      </c>
      <c r="J51" s="17">
        <f>VLOOKUP(A51,'ADM Data'!$A$2:$J$52,10,FALSE)</f>
        <v>20.441974999999999</v>
      </c>
      <c r="K51" s="1">
        <f t="shared" si="0"/>
        <v>350.82</v>
      </c>
      <c r="L51" s="1">
        <f t="shared" si="1"/>
        <v>413442.27</v>
      </c>
      <c r="M51" s="1">
        <f t="shared" si="2"/>
        <v>52042.03</v>
      </c>
      <c r="N51" s="1">
        <f t="shared" si="3"/>
        <v>3793.4707411269837</v>
      </c>
      <c r="O51" s="1">
        <f t="shared" si="4"/>
        <v>195.91</v>
      </c>
      <c r="P51" s="1">
        <f t="shared" si="5"/>
        <v>276460.86</v>
      </c>
      <c r="Q51" s="1">
        <f t="shared" si="6"/>
        <v>746285.36074112693</v>
      </c>
      <c r="R51" s="17">
        <f t="shared" si="7"/>
        <v>227.39121499999999</v>
      </c>
    </row>
    <row r="52" spans="1:18" x14ac:dyDescent="0.25">
      <c r="A52" t="s">
        <v>195</v>
      </c>
      <c r="B52" t="s">
        <v>196</v>
      </c>
      <c r="C52" t="s">
        <v>248</v>
      </c>
      <c r="D52" s="15">
        <f>VLOOKUP(A52,'State Share Base Cost'!$A$3:$H$52,8,FALSE)</f>
        <v>0.87603140999999995</v>
      </c>
      <c r="E52" s="17">
        <f>VLOOKUP(A52,'ADM Data'!$A$2:$E$52,5,FALSE)</f>
        <v>0</v>
      </c>
      <c r="F52" s="17">
        <f>VLOOKUP(A52,'ADM Data'!$A$2:$J$52,6,FALSE)</f>
        <v>47.228186000000001</v>
      </c>
      <c r="G52" s="17">
        <f>VLOOKUP(A52,'ADM Data'!$A$2:$J$52,7,FALSE)</f>
        <v>1</v>
      </c>
      <c r="H52" s="17">
        <f>VLOOKUP(A52,'ADM Data'!$A$2:$J$52,8,FALSE)</f>
        <v>1</v>
      </c>
      <c r="I52" s="17">
        <f>VLOOKUP(A52,'ADM Data'!$A$2:$J$52,9,FALSE)</f>
        <v>2.5</v>
      </c>
      <c r="J52" s="17">
        <f>VLOOKUP(A52,'ADM Data'!$A$2:$J$52,10,FALSE)</f>
        <v>3</v>
      </c>
      <c r="K52" s="1">
        <f t="shared" si="0"/>
        <v>0</v>
      </c>
      <c r="L52" s="1">
        <f t="shared" si="1"/>
        <v>210693.53</v>
      </c>
      <c r="M52" s="1">
        <f t="shared" si="2"/>
        <v>10717.96</v>
      </c>
      <c r="N52" s="1">
        <f t="shared" si="3"/>
        <v>14304.084164435564</v>
      </c>
      <c r="O52" s="1">
        <f t="shared" si="4"/>
        <v>48427.54</v>
      </c>
      <c r="P52" s="1">
        <f t="shared" si="5"/>
        <v>85672.89</v>
      </c>
      <c r="Q52" s="1">
        <f t="shared" si="6"/>
        <v>369816.00416443555</v>
      </c>
      <c r="R52" s="17">
        <f t="shared" si="7"/>
        <v>54.728186000000001</v>
      </c>
    </row>
    <row r="53" spans="1:18" x14ac:dyDescent="0.25">
      <c r="A53" t="s">
        <v>197</v>
      </c>
      <c r="B53" t="s">
        <v>198</v>
      </c>
      <c r="C53" t="s">
        <v>249</v>
      </c>
      <c r="D53" s="15">
        <f>VLOOKUP(A53,'State Share Base Cost'!$A$3:$H$52,8,FALSE)</f>
        <v>0.79648726800000003</v>
      </c>
      <c r="E53" s="17">
        <f>VLOOKUP(A53,'ADM Data'!$A$2:$E$52,5,FALSE)</f>
        <v>0</v>
      </c>
      <c r="F53" s="17">
        <f>VLOOKUP(A53,'ADM Data'!$A$2:$J$52,6,FALSE)</f>
        <v>113.003612</v>
      </c>
      <c r="G53" s="17">
        <f>VLOOKUP(A53,'ADM Data'!$A$2:$J$52,7,FALSE)</f>
        <v>7.1447229999999999</v>
      </c>
      <c r="H53" s="17">
        <f>VLOOKUP(A53,'ADM Data'!$A$2:$J$52,8,FALSE)</f>
        <v>0</v>
      </c>
      <c r="I53" s="17">
        <f>VLOOKUP(A53,'ADM Data'!$A$2:$J$52,9,FALSE)</f>
        <v>3.899</v>
      </c>
      <c r="J53" s="17">
        <f>VLOOKUP(A53,'ADM Data'!$A$2:$J$52,10,FALSE)</f>
        <v>9.5482779999999998</v>
      </c>
      <c r="K53" s="1">
        <f t="shared" si="0"/>
        <v>0</v>
      </c>
      <c r="L53" s="1">
        <f t="shared" si="1"/>
        <v>458354.41</v>
      </c>
      <c r="M53" s="1">
        <f t="shared" si="2"/>
        <v>69623.600000000006</v>
      </c>
      <c r="N53" s="1">
        <f t="shared" si="3"/>
        <v>0</v>
      </c>
      <c r="O53" s="1">
        <f t="shared" si="4"/>
        <v>68669.649999999994</v>
      </c>
      <c r="P53" s="1">
        <f t="shared" si="5"/>
        <v>247917.03</v>
      </c>
      <c r="Q53" s="1">
        <f t="shared" si="6"/>
        <v>844564.69000000006</v>
      </c>
      <c r="R53" s="17">
        <f t="shared" si="7"/>
        <v>133.59561300000001</v>
      </c>
    </row>
    <row r="54" spans="1:18" x14ac:dyDescent="0.25">
      <c r="A54" s="135" t="s">
        <v>914</v>
      </c>
      <c r="B54" t="s">
        <v>250</v>
      </c>
      <c r="C54" t="s">
        <v>318</v>
      </c>
      <c r="E54" s="17">
        <f>SUM(E5:E53)</f>
        <v>40.760135000000005</v>
      </c>
      <c r="F54" s="17">
        <f t="shared" ref="F54:J54" si="8">SUM(F5:F53)</f>
        <v>7813.7687080000005</v>
      </c>
      <c r="G54" s="17">
        <f t="shared" si="8"/>
        <v>355.167663</v>
      </c>
      <c r="H54" s="17">
        <f t="shared" si="8"/>
        <v>34.055532000000007</v>
      </c>
      <c r="I54" s="17">
        <f t="shared" si="8"/>
        <v>228.90486799999999</v>
      </c>
      <c r="J54" s="17">
        <f t="shared" si="8"/>
        <v>793.14170799999988</v>
      </c>
      <c r="K54" s="19">
        <f t="shared" ref="K54" si="9">SUM(K5:K53)</f>
        <v>60428.600000000006</v>
      </c>
      <c r="L54" s="19">
        <f t="shared" ref="L54" si="10">SUM(L5:L53)</f>
        <v>30117828.5</v>
      </c>
      <c r="M54" s="1">
        <f t="shared" ref="M54" si="11">SUM(M5:M53)</f>
        <v>3255545.2199999993</v>
      </c>
      <c r="N54" s="1">
        <f t="shared" ref="N54" si="12">SUM(N5:N53)</f>
        <v>424544.37995214149</v>
      </c>
      <c r="O54" s="1">
        <f t="shared" ref="O54" si="13">SUM(O5:O53)</f>
        <v>4031771.3700000006</v>
      </c>
      <c r="P54" s="1">
        <f t="shared" ref="P54" si="14">SUM(P5:P53)</f>
        <v>19549574</v>
      </c>
      <c r="Q54" s="1">
        <f t="shared" ref="Q54:R54" si="15">SUM(Q5:Q53)</f>
        <v>57439692.06995213</v>
      </c>
      <c r="R54" s="1">
        <f t="shared" si="15"/>
        <v>9265.7986139999994</v>
      </c>
    </row>
    <row r="55" spans="1:18" x14ac:dyDescent="0.25">
      <c r="E55" s="17"/>
      <c r="F55" s="17"/>
      <c r="G55" s="17"/>
      <c r="H55" s="17"/>
      <c r="I55" s="17"/>
      <c r="J55" s="17"/>
    </row>
    <row r="59" spans="1:18" x14ac:dyDescent="0.25">
      <c r="E59" s="17"/>
      <c r="F59" s="17"/>
      <c r="G59" s="17"/>
      <c r="H59" s="17"/>
      <c r="I59" s="17"/>
      <c r="J59" s="17"/>
    </row>
  </sheetData>
  <phoneticPr fontId="18"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8E47E-6515-4464-975D-CC7791D667F4}">
  <dimension ref="A1:C50"/>
  <sheetViews>
    <sheetView topLeftCell="A2" workbookViewId="0">
      <selection activeCell="K26" sqref="K26"/>
    </sheetView>
  </sheetViews>
  <sheetFormatPr defaultRowHeight="15" x14ac:dyDescent="0.25"/>
  <cols>
    <col min="1" max="1" width="7.140625" bestFit="1" customWidth="1"/>
    <col min="2" max="2" width="30" bestFit="1" customWidth="1"/>
    <col min="3" max="3" width="30.5703125" style="23" bestFit="1" customWidth="1"/>
  </cols>
  <sheetData>
    <row r="1" spans="1:3" x14ac:dyDescent="0.25">
      <c r="A1" t="s">
        <v>93</v>
      </c>
      <c r="B1" t="s">
        <v>938</v>
      </c>
      <c r="C1" s="23" t="s">
        <v>939</v>
      </c>
    </row>
    <row r="2" spans="1:3" x14ac:dyDescent="0.25">
      <c r="A2" t="s">
        <v>101</v>
      </c>
      <c r="B2" t="s">
        <v>724</v>
      </c>
      <c r="C2" s="23">
        <v>3081470730</v>
      </c>
    </row>
    <row r="3" spans="1:3" x14ac:dyDescent="0.25">
      <c r="A3" t="s">
        <v>103</v>
      </c>
      <c r="B3" t="s">
        <v>725</v>
      </c>
      <c r="C3" s="23">
        <v>1133910060</v>
      </c>
    </row>
    <row r="4" spans="1:3" x14ac:dyDescent="0.25">
      <c r="A4" t="s">
        <v>105</v>
      </c>
      <c r="B4" t="s">
        <v>726</v>
      </c>
      <c r="C4" s="23">
        <v>2626740790</v>
      </c>
    </row>
    <row r="5" spans="1:3" x14ac:dyDescent="0.25">
      <c r="A5" t="s">
        <v>107</v>
      </c>
      <c r="B5" t="s">
        <v>727</v>
      </c>
      <c r="C5" s="23">
        <v>3086011510</v>
      </c>
    </row>
    <row r="6" spans="1:3" x14ac:dyDescent="0.25">
      <c r="A6" t="s">
        <v>109</v>
      </c>
      <c r="B6" t="s">
        <v>728</v>
      </c>
      <c r="C6" s="23">
        <v>15459268610</v>
      </c>
    </row>
    <row r="7" spans="1:3" x14ac:dyDescent="0.25">
      <c r="A7" t="s">
        <v>111</v>
      </c>
      <c r="B7" t="s">
        <v>729</v>
      </c>
      <c r="C7" s="23">
        <v>1871554020</v>
      </c>
    </row>
    <row r="8" spans="1:3" x14ac:dyDescent="0.25">
      <c r="A8" t="s">
        <v>113</v>
      </c>
      <c r="B8" t="s">
        <v>730</v>
      </c>
      <c r="C8" s="23">
        <v>8340464650</v>
      </c>
    </row>
    <row r="9" spans="1:3" x14ac:dyDescent="0.25">
      <c r="A9" t="s">
        <v>115</v>
      </c>
      <c r="B9" t="s">
        <v>731</v>
      </c>
      <c r="C9" s="23">
        <v>6106182010</v>
      </c>
    </row>
    <row r="10" spans="1:3" x14ac:dyDescent="0.25">
      <c r="A10" t="s">
        <v>117</v>
      </c>
      <c r="B10" t="s">
        <v>732</v>
      </c>
      <c r="C10" s="23">
        <v>4884682800</v>
      </c>
    </row>
    <row r="11" spans="1:3" x14ac:dyDescent="0.25">
      <c r="A11" t="s">
        <v>119</v>
      </c>
      <c r="B11" t="s">
        <v>733</v>
      </c>
      <c r="C11" s="23">
        <v>11123109920</v>
      </c>
    </row>
    <row r="12" spans="1:3" x14ac:dyDescent="0.25">
      <c r="A12" t="s">
        <v>121</v>
      </c>
      <c r="B12" t="s">
        <v>734</v>
      </c>
      <c r="C12" s="23">
        <v>14215953940</v>
      </c>
    </row>
    <row r="13" spans="1:3" x14ac:dyDescent="0.25">
      <c r="A13" t="s">
        <v>123</v>
      </c>
      <c r="B13" t="s">
        <v>735</v>
      </c>
      <c r="C13" s="23">
        <v>4367060820</v>
      </c>
    </row>
    <row r="14" spans="1:3" x14ac:dyDescent="0.25">
      <c r="A14" t="s">
        <v>125</v>
      </c>
      <c r="B14" t="s">
        <v>736</v>
      </c>
      <c r="C14" s="23">
        <v>6295582980</v>
      </c>
    </row>
    <row r="15" spans="1:3" x14ac:dyDescent="0.25">
      <c r="A15" t="s">
        <v>127</v>
      </c>
      <c r="B15" t="s">
        <v>737</v>
      </c>
      <c r="C15" s="23">
        <v>29196616270</v>
      </c>
    </row>
    <row r="16" spans="1:3" x14ac:dyDescent="0.25">
      <c r="A16" t="s">
        <v>129</v>
      </c>
      <c r="B16" t="s">
        <v>738</v>
      </c>
      <c r="C16" s="23">
        <v>2023962740</v>
      </c>
    </row>
    <row r="17" spans="1:3" x14ac:dyDescent="0.25">
      <c r="A17" t="s">
        <v>131</v>
      </c>
      <c r="B17" t="s">
        <v>132</v>
      </c>
      <c r="C17" s="23">
        <v>2533561263</v>
      </c>
    </row>
    <row r="18" spans="1:3" x14ac:dyDescent="0.25">
      <c r="A18" t="s">
        <v>133</v>
      </c>
      <c r="B18" t="s">
        <v>739</v>
      </c>
      <c r="C18" s="23">
        <v>6046511300</v>
      </c>
    </row>
    <row r="19" spans="1:3" x14ac:dyDescent="0.25">
      <c r="A19" t="s">
        <v>135</v>
      </c>
      <c r="B19" t="s">
        <v>740</v>
      </c>
      <c r="C19" s="23">
        <v>1826135910</v>
      </c>
    </row>
    <row r="20" spans="1:3" x14ac:dyDescent="0.25">
      <c r="A20" t="s">
        <v>137</v>
      </c>
      <c r="B20" t="s">
        <v>741</v>
      </c>
      <c r="C20" s="23">
        <v>8082052928</v>
      </c>
    </row>
    <row r="21" spans="1:3" x14ac:dyDescent="0.25">
      <c r="A21" t="s">
        <v>139</v>
      </c>
      <c r="B21" t="s">
        <v>742</v>
      </c>
      <c r="C21" s="23">
        <v>8231790920</v>
      </c>
    </row>
    <row r="22" spans="1:3" x14ac:dyDescent="0.25">
      <c r="A22" t="s">
        <v>141</v>
      </c>
      <c r="B22" t="s">
        <v>743</v>
      </c>
      <c r="C22" s="23">
        <v>5654414610</v>
      </c>
    </row>
    <row r="23" spans="1:3" x14ac:dyDescent="0.25">
      <c r="A23" t="s">
        <v>143</v>
      </c>
      <c r="B23" t="s">
        <v>744</v>
      </c>
      <c r="C23" s="23">
        <v>10357544400</v>
      </c>
    </row>
    <row r="24" spans="1:3" x14ac:dyDescent="0.25">
      <c r="A24" t="s">
        <v>145</v>
      </c>
      <c r="B24" t="s">
        <v>745</v>
      </c>
      <c r="C24" s="23">
        <v>5410503444</v>
      </c>
    </row>
    <row r="25" spans="1:3" x14ac:dyDescent="0.25">
      <c r="A25" t="s">
        <v>147</v>
      </c>
      <c r="B25" t="s">
        <v>746</v>
      </c>
      <c r="C25" s="23">
        <v>4735266750</v>
      </c>
    </row>
    <row r="26" spans="1:3" x14ac:dyDescent="0.25">
      <c r="A26" t="s">
        <v>149</v>
      </c>
      <c r="B26" t="s">
        <v>747</v>
      </c>
      <c r="C26" s="23">
        <v>8656896980</v>
      </c>
    </row>
    <row r="27" spans="1:3" x14ac:dyDescent="0.25">
      <c r="A27" t="s">
        <v>151</v>
      </c>
      <c r="B27" t="s">
        <v>748</v>
      </c>
      <c r="C27" s="23">
        <v>737562040</v>
      </c>
    </row>
    <row r="28" spans="1:3" x14ac:dyDescent="0.25">
      <c r="A28" t="s">
        <v>153</v>
      </c>
      <c r="B28" t="s">
        <v>749</v>
      </c>
      <c r="C28" s="23">
        <v>3105485680</v>
      </c>
    </row>
    <row r="29" spans="1:3" x14ac:dyDescent="0.25">
      <c r="A29" t="s">
        <v>155</v>
      </c>
      <c r="B29" t="s">
        <v>750</v>
      </c>
      <c r="C29" s="23">
        <v>3781505840</v>
      </c>
    </row>
    <row r="30" spans="1:3" x14ac:dyDescent="0.25">
      <c r="A30" t="s">
        <v>157</v>
      </c>
      <c r="B30" t="s">
        <v>158</v>
      </c>
      <c r="C30" s="23">
        <v>3257018140</v>
      </c>
    </row>
    <row r="31" spans="1:3" x14ac:dyDescent="0.25">
      <c r="A31" t="s">
        <v>159</v>
      </c>
      <c r="B31" t="s">
        <v>751</v>
      </c>
      <c r="C31" s="23">
        <v>4461936840</v>
      </c>
    </row>
    <row r="32" spans="1:3" x14ac:dyDescent="0.25">
      <c r="A32" t="s">
        <v>161</v>
      </c>
      <c r="B32" t="s">
        <v>752</v>
      </c>
      <c r="C32" s="23">
        <v>6705904770</v>
      </c>
    </row>
    <row r="33" spans="1:3" x14ac:dyDescent="0.25">
      <c r="A33" t="s">
        <v>163</v>
      </c>
      <c r="B33" t="s">
        <v>753</v>
      </c>
      <c r="C33" s="23">
        <v>1392380440</v>
      </c>
    </row>
    <row r="34" spans="1:3" x14ac:dyDescent="0.25">
      <c r="A34" t="s">
        <v>165</v>
      </c>
      <c r="B34" t="s">
        <v>754</v>
      </c>
      <c r="C34" s="23">
        <v>3198433870</v>
      </c>
    </row>
    <row r="35" spans="1:3" x14ac:dyDescent="0.25">
      <c r="A35" t="s">
        <v>167</v>
      </c>
      <c r="B35" t="s">
        <v>755</v>
      </c>
      <c r="C35" s="23">
        <v>3046328140</v>
      </c>
    </row>
    <row r="36" spans="1:3" x14ac:dyDescent="0.25">
      <c r="A36" t="s">
        <v>169</v>
      </c>
      <c r="B36" t="s">
        <v>756</v>
      </c>
      <c r="C36" s="23">
        <v>4829164670</v>
      </c>
    </row>
    <row r="37" spans="1:3" x14ac:dyDescent="0.25">
      <c r="A37" t="s">
        <v>171</v>
      </c>
      <c r="B37" t="s">
        <v>757</v>
      </c>
      <c r="C37" s="23">
        <v>4848569530</v>
      </c>
    </row>
    <row r="38" spans="1:3" x14ac:dyDescent="0.25">
      <c r="A38" t="s">
        <v>173</v>
      </c>
      <c r="B38" t="s">
        <v>758</v>
      </c>
      <c r="C38" s="23">
        <v>2425268480</v>
      </c>
    </row>
    <row r="39" spans="1:3" x14ac:dyDescent="0.25">
      <c r="A39" t="s">
        <v>175</v>
      </c>
      <c r="B39" t="s">
        <v>759</v>
      </c>
      <c r="C39" s="23">
        <v>1975176040</v>
      </c>
    </row>
    <row r="40" spans="1:3" x14ac:dyDescent="0.25">
      <c r="A40" t="s">
        <v>177</v>
      </c>
      <c r="B40" t="s">
        <v>178</v>
      </c>
      <c r="C40" s="23">
        <v>4201921910</v>
      </c>
    </row>
    <row r="41" spans="1:3" x14ac:dyDescent="0.25">
      <c r="A41" t="s">
        <v>179</v>
      </c>
      <c r="B41" t="s">
        <v>760</v>
      </c>
      <c r="C41" s="23">
        <v>2154475500</v>
      </c>
    </row>
    <row r="42" spans="1:3" x14ac:dyDescent="0.25">
      <c r="A42" t="s">
        <v>181</v>
      </c>
      <c r="B42" t="s">
        <v>761</v>
      </c>
      <c r="C42" s="23">
        <v>2438985210</v>
      </c>
    </row>
    <row r="43" spans="1:3" x14ac:dyDescent="0.25">
      <c r="A43" t="s">
        <v>183</v>
      </c>
      <c r="B43" t="s">
        <v>762</v>
      </c>
      <c r="C43" s="23">
        <v>2478245940</v>
      </c>
    </row>
    <row r="44" spans="1:3" x14ac:dyDescent="0.25">
      <c r="A44" t="s">
        <v>185</v>
      </c>
      <c r="B44" t="s">
        <v>763</v>
      </c>
      <c r="C44" s="23">
        <v>6945448560</v>
      </c>
    </row>
    <row r="45" spans="1:3" x14ac:dyDescent="0.25">
      <c r="A45" t="s">
        <v>187</v>
      </c>
      <c r="B45" t="s">
        <v>764</v>
      </c>
      <c r="C45" s="23">
        <v>3559755610</v>
      </c>
    </row>
    <row r="46" spans="1:3" x14ac:dyDescent="0.25">
      <c r="A46" t="s">
        <v>189</v>
      </c>
      <c r="B46" t="s">
        <v>765</v>
      </c>
      <c r="C46" s="23">
        <v>1105540490</v>
      </c>
    </row>
    <row r="47" spans="1:3" x14ac:dyDescent="0.25">
      <c r="A47" t="s">
        <v>191</v>
      </c>
      <c r="B47" t="s">
        <v>766</v>
      </c>
      <c r="C47" s="23">
        <v>2636487690</v>
      </c>
    </row>
    <row r="48" spans="1:3" x14ac:dyDescent="0.25">
      <c r="A48" t="s">
        <v>193</v>
      </c>
      <c r="B48" t="s">
        <v>767</v>
      </c>
      <c r="C48" s="23">
        <v>12389567000</v>
      </c>
    </row>
    <row r="49" spans="1:3" x14ac:dyDescent="0.25">
      <c r="A49" t="s">
        <v>195</v>
      </c>
      <c r="B49" t="s">
        <v>768</v>
      </c>
      <c r="C49" s="23">
        <v>826389739</v>
      </c>
    </row>
    <row r="50" spans="1:3" x14ac:dyDescent="0.25">
      <c r="A50" t="s">
        <v>197</v>
      </c>
      <c r="B50" t="s">
        <v>769</v>
      </c>
      <c r="C50" s="23">
        <v>2843523720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8ED70-1640-46A4-B3EE-D1D2085A9FF4}">
  <dimension ref="A1:N91"/>
  <sheetViews>
    <sheetView workbookViewId="0">
      <pane ySplit="9" topLeftCell="A10" activePane="bottomLeft" state="frozen"/>
      <selection pane="bottomLeft" activeCell="U20" sqref="U20"/>
    </sheetView>
  </sheetViews>
  <sheetFormatPr defaultColWidth="9.140625" defaultRowHeight="15" x14ac:dyDescent="0.25"/>
  <cols>
    <col min="1" max="1" width="5.5703125" style="42" customWidth="1"/>
    <col min="2" max="2" width="5.7109375" style="42" customWidth="1"/>
    <col min="3" max="3" width="12" style="42" customWidth="1"/>
    <col min="4" max="4" width="13.140625" style="42" customWidth="1"/>
    <col min="5" max="5" width="19.85546875" style="42" customWidth="1"/>
    <col min="6" max="6" width="3.5703125" style="42" customWidth="1"/>
    <col min="7" max="7" width="10.85546875" style="42" customWidth="1"/>
    <col min="8" max="8" width="10.42578125" style="42" customWidth="1"/>
    <col min="9" max="9" width="6.140625" style="42" customWidth="1"/>
    <col min="10" max="10" width="1.140625" style="42" customWidth="1"/>
    <col min="11" max="11" width="16.7109375" style="42" customWidth="1"/>
    <col min="12" max="12" width="16" style="42" customWidth="1"/>
    <col min="13" max="13" width="9.140625" style="42" customWidth="1"/>
    <col min="14" max="14" width="15.28515625" style="42" bestFit="1" customWidth="1"/>
    <col min="15" max="16384" width="9.140625" style="42"/>
  </cols>
  <sheetData>
    <row r="1" spans="1:12" s="40" customFormat="1" ht="15" customHeight="1" x14ac:dyDescent="0.2">
      <c r="A1" s="344"/>
      <c r="B1" s="344"/>
      <c r="C1" s="344"/>
      <c r="D1" s="344"/>
      <c r="E1" s="344"/>
      <c r="F1" s="344"/>
      <c r="G1" s="344"/>
      <c r="H1" s="344"/>
      <c r="I1" s="344"/>
      <c r="J1" s="344"/>
      <c r="K1" s="344"/>
      <c r="L1" s="344"/>
    </row>
    <row r="2" spans="1:12" s="41" customFormat="1" ht="15" customHeight="1" x14ac:dyDescent="0.25">
      <c r="A2" s="345" t="s">
        <v>440</v>
      </c>
      <c r="B2" s="345"/>
      <c r="C2" s="345"/>
      <c r="D2" s="345"/>
      <c r="E2" s="345"/>
      <c r="F2" s="345"/>
      <c r="G2" s="345"/>
      <c r="H2" s="345"/>
      <c r="I2" s="345"/>
      <c r="J2" s="345"/>
      <c r="K2" s="345"/>
      <c r="L2" s="345"/>
    </row>
    <row r="3" spans="1:12" ht="15" customHeight="1" x14ac:dyDescent="0.25">
      <c r="A3" s="346" t="s">
        <v>441</v>
      </c>
      <c r="B3" s="346"/>
      <c r="C3" s="346"/>
      <c r="D3" s="346"/>
      <c r="E3" s="346"/>
      <c r="F3" s="346"/>
      <c r="G3" s="346"/>
      <c r="H3" s="346"/>
      <c r="I3" s="346"/>
      <c r="J3" s="346"/>
      <c r="K3" s="346"/>
      <c r="L3" s="346"/>
    </row>
    <row r="4" spans="1:12" ht="15" customHeight="1" x14ac:dyDescent="0.25">
      <c r="A4" s="347" t="s">
        <v>579</v>
      </c>
      <c r="B4" s="347"/>
      <c r="C4" s="347"/>
      <c r="D4" s="347"/>
      <c r="E4" s="347"/>
      <c r="F4" s="347"/>
      <c r="G4" s="347"/>
      <c r="H4" s="347"/>
      <c r="I4" s="347"/>
      <c r="J4" s="347"/>
      <c r="K4" s="347"/>
      <c r="L4" s="347"/>
    </row>
    <row r="5" spans="1:12" ht="15" customHeight="1" x14ac:dyDescent="0.25">
      <c r="A5" s="346" t="s">
        <v>580</v>
      </c>
      <c r="B5" s="346"/>
      <c r="C5" s="346"/>
      <c r="D5" s="346"/>
      <c r="E5" s="346"/>
      <c r="F5" s="346"/>
      <c r="G5" s="346"/>
      <c r="H5" s="346"/>
      <c r="I5" s="346"/>
      <c r="J5" s="346"/>
      <c r="K5" s="346"/>
      <c r="L5" s="346"/>
    </row>
    <row r="6" spans="1:12" ht="4.5" customHeight="1" x14ac:dyDescent="0.25">
      <c r="A6" s="348"/>
      <c r="B6" s="348"/>
      <c r="C6" s="348"/>
      <c r="D6" s="348"/>
      <c r="E6" s="348"/>
      <c r="F6" s="348"/>
      <c r="G6" s="348"/>
      <c r="H6" s="348"/>
      <c r="I6" s="348"/>
      <c r="J6" s="348"/>
      <c r="K6" s="348"/>
      <c r="L6" s="348"/>
    </row>
    <row r="7" spans="1:12" ht="15" customHeight="1" x14ac:dyDescent="0.25">
      <c r="A7" s="349" t="s">
        <v>581</v>
      </c>
      <c r="B7" s="349"/>
      <c r="C7" s="58">
        <v>50765</v>
      </c>
      <c r="D7" s="125" t="s">
        <v>549</v>
      </c>
      <c r="E7" s="338" t="e">
        <f>VLOOKUP(C7,'Base Cost_Calc'!$A$7:$B$56,2,FALSE)</f>
        <v>#N/A</v>
      </c>
      <c r="F7" s="338"/>
      <c r="G7" s="338"/>
      <c r="H7" s="338"/>
      <c r="I7" s="338"/>
      <c r="J7" s="338"/>
      <c r="K7" s="125" t="s">
        <v>442</v>
      </c>
      <c r="L7" s="43" t="e">
        <f>VLOOKUP(C7,'Base Cost_Calc'!$A$7:$C$56,3,FALSE)</f>
        <v>#N/A</v>
      </c>
    </row>
    <row r="8" spans="1:12" ht="5.25" customHeight="1" x14ac:dyDescent="0.25">
      <c r="A8" s="44"/>
      <c r="B8" s="350"/>
      <c r="C8" s="350"/>
      <c r="D8" s="350"/>
      <c r="E8" s="350"/>
      <c r="F8" s="350"/>
      <c r="G8" s="350"/>
      <c r="H8" s="350"/>
      <c r="I8" s="350"/>
      <c r="J8" s="350"/>
      <c r="K8" s="350"/>
      <c r="L8" s="350"/>
    </row>
    <row r="9" spans="1:12" s="45" customFormat="1" ht="14.45" customHeight="1" x14ac:dyDescent="0.25">
      <c r="A9" s="343" t="s">
        <v>443</v>
      </c>
      <c r="B9" s="343"/>
      <c r="C9" s="343"/>
      <c r="D9" s="343"/>
      <c r="E9" s="343"/>
      <c r="F9" s="343"/>
      <c r="G9" s="343"/>
      <c r="H9" s="343"/>
      <c r="I9" s="343"/>
      <c r="J9" s="343"/>
      <c r="K9" s="343"/>
      <c r="L9" s="343"/>
    </row>
    <row r="10" spans="1:12" s="45" customFormat="1" ht="14.45" customHeight="1" x14ac:dyDescent="0.25">
      <c r="A10" s="128" t="s">
        <v>444</v>
      </c>
      <c r="B10" s="337" t="s">
        <v>582</v>
      </c>
      <c r="C10" s="337"/>
      <c r="D10" s="337"/>
      <c r="E10" s="337"/>
      <c r="F10" s="337"/>
      <c r="G10" s="337"/>
      <c r="H10" s="337"/>
      <c r="I10" s="337"/>
      <c r="J10" s="337"/>
      <c r="K10" s="64"/>
      <c r="L10" s="50">
        <f>'BC ADM'!I52</f>
        <v>49230.915150333334</v>
      </c>
    </row>
    <row r="11" spans="1:12" s="45" customFormat="1" ht="14.45" customHeight="1" x14ac:dyDescent="0.25">
      <c r="A11" s="128" t="s">
        <v>445</v>
      </c>
      <c r="B11" s="337" t="s">
        <v>583</v>
      </c>
      <c r="C11" s="337"/>
      <c r="D11" s="337"/>
      <c r="E11" s="337"/>
      <c r="F11" s="337"/>
      <c r="G11" s="337"/>
      <c r="H11" s="337"/>
      <c r="I11" s="337"/>
      <c r="J11" s="337"/>
      <c r="K11" s="9"/>
      <c r="L11" s="50">
        <f>'Base Cost_Calc'!AX56</f>
        <v>478250248.57451212</v>
      </c>
    </row>
    <row r="12" spans="1:12" s="45" customFormat="1" ht="14.45" customHeight="1" x14ac:dyDescent="0.25">
      <c r="A12" s="128" t="s">
        <v>447</v>
      </c>
      <c r="B12" s="337" t="s">
        <v>584</v>
      </c>
      <c r="C12" s="337"/>
      <c r="D12" s="337"/>
      <c r="E12" s="337"/>
      <c r="F12" s="337"/>
      <c r="G12" s="337"/>
      <c r="H12" s="337"/>
      <c r="I12" s="337"/>
      <c r="J12" s="337"/>
      <c r="K12" s="9"/>
      <c r="L12" s="50">
        <f>'Base Cost_Calc'!AU3</f>
        <v>0</v>
      </c>
    </row>
    <row r="13" spans="1:12" s="45" customFormat="1" ht="14.45" customHeight="1" x14ac:dyDescent="0.25">
      <c r="A13" s="128" t="s">
        <v>76</v>
      </c>
      <c r="B13" s="337" t="s">
        <v>585</v>
      </c>
      <c r="C13" s="337"/>
      <c r="D13" s="337"/>
      <c r="E13" s="337"/>
      <c r="F13" s="337"/>
      <c r="G13" s="337"/>
      <c r="H13" s="337"/>
      <c r="I13" s="337"/>
      <c r="J13" s="337"/>
      <c r="K13" s="66"/>
      <c r="L13" s="50">
        <f>'Base Cost_Calc'!C1</f>
        <v>17152.68</v>
      </c>
    </row>
    <row r="14" spans="1:12" s="45" customFormat="1" ht="14.45" customHeight="1" x14ac:dyDescent="0.25">
      <c r="A14" s="126" t="s">
        <v>586</v>
      </c>
      <c r="B14" s="337" t="s">
        <v>587</v>
      </c>
      <c r="C14" s="337"/>
      <c r="D14" s="337"/>
      <c r="E14" s="337"/>
      <c r="F14" s="337"/>
      <c r="G14" s="337"/>
      <c r="H14" s="337"/>
      <c r="I14" s="337"/>
      <c r="J14" s="337"/>
      <c r="K14" s="65"/>
      <c r="L14" s="127"/>
    </row>
    <row r="15" spans="1:12" s="45" customFormat="1" ht="14.45" customHeight="1" x14ac:dyDescent="0.25">
      <c r="A15" s="126"/>
      <c r="B15" t="s">
        <v>55</v>
      </c>
      <c r="C15" s="337" t="s">
        <v>255</v>
      </c>
      <c r="D15" s="337"/>
      <c r="E15" s="337"/>
      <c r="F15" s="337"/>
      <c r="G15" s="337"/>
      <c r="H15" s="337"/>
      <c r="I15" s="337"/>
      <c r="J15" s="337"/>
      <c r="K15" s="65">
        <f>'Base Cost_Calc'!AH1</f>
        <v>123639.30436303226</v>
      </c>
      <c r="L15" s="127"/>
    </row>
    <row r="16" spans="1:12" s="45" customFormat="1" ht="14.45" customHeight="1" x14ac:dyDescent="0.25">
      <c r="A16" s="126"/>
      <c r="B16" t="s">
        <v>57</v>
      </c>
      <c r="C16" s="336" t="s">
        <v>262</v>
      </c>
      <c r="D16" s="337"/>
      <c r="E16" s="337"/>
      <c r="F16" s="337"/>
      <c r="G16" s="337"/>
      <c r="H16" s="337"/>
      <c r="I16" s="337"/>
      <c r="J16" s="337"/>
      <c r="K16" s="65">
        <f>'Base Cost_Calc'!AH2</f>
        <v>100368.70996592531</v>
      </c>
      <c r="L16" s="127"/>
    </row>
    <row r="17" spans="1:12" s="45" customFormat="1" ht="14.45" customHeight="1" x14ac:dyDescent="0.25">
      <c r="A17" s="126"/>
      <c r="B17" t="s">
        <v>59</v>
      </c>
      <c r="C17" s="336" t="s">
        <v>60</v>
      </c>
      <c r="D17" s="337"/>
      <c r="E17" s="337"/>
      <c r="F17" s="337"/>
      <c r="G17" s="337"/>
      <c r="H17" s="337"/>
      <c r="I17" s="337"/>
      <c r="J17" s="337"/>
      <c r="K17" s="65">
        <f>'Base Cost_Calc'!AH3</f>
        <v>97627.89306602237</v>
      </c>
      <c r="L17" s="127"/>
    </row>
    <row r="18" spans="1:12" s="45" customFormat="1" ht="14.45" customHeight="1" x14ac:dyDescent="0.25">
      <c r="A18" s="126"/>
      <c r="B18" t="s">
        <v>61</v>
      </c>
      <c r="C18" s="337" t="s">
        <v>62</v>
      </c>
      <c r="D18" s="337"/>
      <c r="E18" s="337"/>
      <c r="F18" s="337"/>
      <c r="G18" s="337"/>
      <c r="H18" s="337"/>
      <c r="I18" s="337"/>
      <c r="J18" s="337"/>
      <c r="K18" s="67">
        <f>'Base Cost_Calc'!C2</f>
        <v>68022.223189749609</v>
      </c>
      <c r="L18" s="127"/>
    </row>
    <row r="19" spans="1:12" s="45" customFormat="1" ht="14.45" customHeight="1" x14ac:dyDescent="0.25">
      <c r="A19" s="126"/>
      <c r="B19" t="s">
        <v>63</v>
      </c>
      <c r="C19" s="337" t="s">
        <v>64</v>
      </c>
      <c r="D19" s="337"/>
      <c r="E19" s="337"/>
      <c r="F19" s="337"/>
      <c r="G19" s="337"/>
      <c r="H19" s="337"/>
      <c r="I19" s="337"/>
      <c r="J19" s="337"/>
      <c r="K19" s="69">
        <f>'Base Cost_Calc'!Q1</f>
        <v>68712.566870916795</v>
      </c>
      <c r="L19" s="127"/>
    </row>
    <row r="20" spans="1:12" s="45" customFormat="1" ht="14.45" customHeight="1" x14ac:dyDescent="0.25">
      <c r="A20" s="126"/>
      <c r="B20" t="s">
        <v>65</v>
      </c>
      <c r="C20" s="336" t="s">
        <v>259</v>
      </c>
      <c r="D20" s="337"/>
      <c r="E20" s="337"/>
      <c r="F20" s="337"/>
      <c r="G20" s="337"/>
      <c r="H20" s="337"/>
      <c r="I20" s="337"/>
      <c r="J20" s="337"/>
      <c r="K20" s="69">
        <f>'Base Cost_Calc'!Q2</f>
        <v>74063.831282582032</v>
      </c>
      <c r="L20" s="127"/>
    </row>
    <row r="21" spans="1:12" s="45" customFormat="1" ht="14.45" customHeight="1" x14ac:dyDescent="0.25">
      <c r="A21" s="126"/>
      <c r="B21" t="s">
        <v>67</v>
      </c>
      <c r="C21" s="336" t="s">
        <v>254</v>
      </c>
      <c r="D21" s="337"/>
      <c r="E21" s="337"/>
      <c r="F21" s="337"/>
      <c r="G21" s="337"/>
      <c r="H21" s="337"/>
      <c r="I21" s="337"/>
      <c r="J21" s="337"/>
      <c r="K21" s="69">
        <f>'Base Cost_Calc'!AC1</f>
        <v>55972.974027932774</v>
      </c>
      <c r="L21" s="127"/>
    </row>
    <row r="22" spans="1:12" s="45" customFormat="1" ht="14.45" customHeight="1" x14ac:dyDescent="0.25">
      <c r="A22" s="126"/>
      <c r="B22" t="s">
        <v>69</v>
      </c>
      <c r="C22" s="336" t="s">
        <v>261</v>
      </c>
      <c r="D22" s="337"/>
      <c r="E22" s="337"/>
      <c r="F22" s="337"/>
      <c r="G22" s="337"/>
      <c r="H22" s="337"/>
      <c r="I22" s="337"/>
      <c r="J22" s="337"/>
      <c r="K22" s="69">
        <f>'Base Cost_Calc'!AC2</f>
        <v>49696.518920332368</v>
      </c>
      <c r="L22" s="127"/>
    </row>
    <row r="23" spans="1:12" s="45" customFormat="1" ht="14.45" customHeight="1" x14ac:dyDescent="0.25">
      <c r="A23" s="126"/>
      <c r="B23" t="s">
        <v>71</v>
      </c>
      <c r="C23" s="336" t="s">
        <v>267</v>
      </c>
      <c r="D23" s="337"/>
      <c r="E23" s="337"/>
      <c r="F23" s="337"/>
      <c r="G23" s="337"/>
      <c r="H23" s="337"/>
      <c r="I23" s="337"/>
      <c r="J23" s="337"/>
      <c r="K23" s="70">
        <f>'Base Cost_Calc'!AC3</f>
        <v>45333.052897225978</v>
      </c>
      <c r="L23" s="59"/>
    </row>
    <row r="24" spans="1:12" s="45" customFormat="1" ht="14.45" customHeight="1" x14ac:dyDescent="0.25">
      <c r="A24" s="126"/>
      <c r="B24" t="s">
        <v>73</v>
      </c>
      <c r="C24" s="336" t="s">
        <v>74</v>
      </c>
      <c r="D24" s="337"/>
      <c r="E24" s="337"/>
      <c r="F24" s="337"/>
      <c r="G24" s="337"/>
      <c r="H24" s="337"/>
      <c r="I24" s="337"/>
      <c r="J24" s="337"/>
      <c r="K24" s="70">
        <f>'Base Cost_Calc'!AM2</f>
        <v>34356.241434326796</v>
      </c>
      <c r="L24" s="59"/>
    </row>
    <row r="25" spans="1:12" s="45" customFormat="1" ht="14.45" customHeight="1" x14ac:dyDescent="0.25">
      <c r="A25" s="126" t="s">
        <v>588</v>
      </c>
      <c r="B25" s="337" t="s">
        <v>589</v>
      </c>
      <c r="C25" s="337"/>
      <c r="D25" s="337"/>
      <c r="E25" s="337"/>
      <c r="F25" s="337"/>
      <c r="G25" s="337"/>
      <c r="H25" s="337"/>
      <c r="I25" s="337"/>
      <c r="J25" s="337"/>
      <c r="K25"/>
      <c r="L25" s="59"/>
    </row>
    <row r="26" spans="1:12" s="45" customFormat="1" ht="14.45" customHeight="1" x14ac:dyDescent="0.25">
      <c r="A26" s="126"/>
      <c r="B26" t="s">
        <v>80</v>
      </c>
      <c r="C26" s="336" t="s">
        <v>590</v>
      </c>
      <c r="D26" s="337"/>
      <c r="E26" s="337"/>
      <c r="F26" s="337"/>
      <c r="G26" s="337"/>
      <c r="H26" s="337"/>
      <c r="I26" s="337"/>
      <c r="J26" s="337"/>
      <c r="K26" s="68">
        <f>'Base Cost_Calc'!Q3</f>
        <v>48.085688326773592</v>
      </c>
      <c r="L26" s="59"/>
    </row>
    <row r="27" spans="1:12" s="45" customFormat="1" ht="14.45" customHeight="1" x14ac:dyDescent="0.25">
      <c r="A27" s="126"/>
      <c r="B27" t="s">
        <v>82</v>
      </c>
      <c r="C27" s="336" t="s">
        <v>83</v>
      </c>
      <c r="D27" s="337"/>
      <c r="E27" s="337"/>
      <c r="F27" s="337"/>
      <c r="G27" s="337"/>
      <c r="H27" s="337"/>
      <c r="I27" s="337"/>
      <c r="J27" s="337"/>
      <c r="K27" s="68">
        <f>'Base Cost_Calc'!Q4</f>
        <v>192.21407165403897</v>
      </c>
      <c r="L27" s="59"/>
    </row>
    <row r="28" spans="1:12" s="45" customFormat="1" ht="14.45" customHeight="1" x14ac:dyDescent="0.25">
      <c r="A28" s="126"/>
      <c r="B28" t="s">
        <v>84</v>
      </c>
      <c r="C28" s="336" t="s">
        <v>257</v>
      </c>
      <c r="D28" s="337"/>
      <c r="E28" s="337"/>
      <c r="F28" s="337"/>
      <c r="G28" s="337"/>
      <c r="H28" s="337"/>
      <c r="I28" s="337"/>
      <c r="J28" s="337"/>
      <c r="K28" s="68">
        <f>'Base Cost_Calc'!W1</f>
        <v>36.198530281198444</v>
      </c>
      <c r="L28" s="59"/>
    </row>
    <row r="29" spans="1:12" s="45" customFormat="1" ht="14.45" customHeight="1" x14ac:dyDescent="0.25">
      <c r="A29" s="126"/>
      <c r="B29" t="s">
        <v>86</v>
      </c>
      <c r="C29" s="336" t="s">
        <v>87</v>
      </c>
      <c r="D29" s="337"/>
      <c r="E29" s="337"/>
      <c r="F29" s="337"/>
      <c r="G29" s="337"/>
      <c r="H29" s="337"/>
      <c r="I29" s="337"/>
      <c r="J29" s="337"/>
      <c r="K29" s="68">
        <f>'Base Cost_Calc'!W2</f>
        <v>243.80646195075474</v>
      </c>
      <c r="L29" s="59"/>
    </row>
    <row r="30" spans="1:12" s="45" customFormat="1" ht="14.45" customHeight="1" x14ac:dyDescent="0.25">
      <c r="A30" s="126"/>
      <c r="B30" t="s">
        <v>265</v>
      </c>
      <c r="C30" s="336" t="s">
        <v>266</v>
      </c>
      <c r="D30" s="337"/>
      <c r="E30" s="337"/>
      <c r="F30" s="337"/>
      <c r="G30" s="337"/>
      <c r="H30" s="337"/>
      <c r="I30" s="337"/>
      <c r="J30" s="337"/>
      <c r="K30" s="68">
        <f>'Base Cost_Calc'!W3</f>
        <v>37.5</v>
      </c>
      <c r="L30" s="59"/>
    </row>
    <row r="31" spans="1:12" s="45" customFormat="1" ht="14.45" customHeight="1" x14ac:dyDescent="0.25">
      <c r="A31" s="126"/>
      <c r="B31" t="s">
        <v>269</v>
      </c>
      <c r="C31" s="336" t="s">
        <v>591</v>
      </c>
      <c r="D31" s="337"/>
      <c r="E31" s="337"/>
      <c r="F31" s="337"/>
      <c r="G31" s="337"/>
      <c r="H31" s="337"/>
      <c r="I31" s="337"/>
      <c r="J31" s="337"/>
      <c r="K31" s="68">
        <f>'Base Cost_Calc'!W4</f>
        <v>31</v>
      </c>
      <c r="L31" s="59"/>
    </row>
    <row r="32" spans="1:12" s="45" customFormat="1" ht="14.45" customHeight="1" x14ac:dyDescent="0.25">
      <c r="A32" s="126"/>
      <c r="B32" t="s">
        <v>90</v>
      </c>
      <c r="C32" s="336" t="s">
        <v>91</v>
      </c>
      <c r="D32" s="337"/>
      <c r="E32" s="337"/>
      <c r="F32" s="337"/>
      <c r="G32" s="337"/>
      <c r="H32" s="337"/>
      <c r="I32" s="337"/>
      <c r="J32" s="337"/>
      <c r="K32" s="68">
        <f>'Base Cost_Calc'!AU2</f>
        <v>1418.1569999999999</v>
      </c>
      <c r="L32" s="59"/>
    </row>
    <row r="33" spans="1:14" s="45" customFormat="1" ht="6.75" customHeight="1" x14ac:dyDescent="0.25">
      <c r="A33" s="126"/>
      <c r="B33" s="341"/>
      <c r="C33" s="342"/>
      <c r="D33" s="342"/>
      <c r="E33" s="342"/>
      <c r="F33" s="342"/>
      <c r="G33" s="342"/>
      <c r="H33" s="342"/>
      <c r="I33" s="342"/>
      <c r="J33" s="342"/>
      <c r="K33" s="342"/>
      <c r="L33" s="46"/>
    </row>
    <row r="34" spans="1:14" s="45" customFormat="1" ht="14.45" customHeight="1" x14ac:dyDescent="0.25">
      <c r="A34" s="343" t="s">
        <v>449</v>
      </c>
      <c r="B34" s="343"/>
      <c r="C34" s="343"/>
      <c r="D34" s="343"/>
      <c r="E34" s="343"/>
      <c r="F34" s="343"/>
      <c r="G34" s="343"/>
      <c r="H34" s="343"/>
      <c r="I34" s="343"/>
      <c r="J34" s="343"/>
      <c r="K34" s="343"/>
      <c r="L34" s="343"/>
    </row>
    <row r="35" spans="1:14" s="45" customFormat="1" ht="14.45" customHeight="1" x14ac:dyDescent="0.25">
      <c r="A35" s="126" t="s">
        <v>450</v>
      </c>
      <c r="B35" s="337" t="s">
        <v>592</v>
      </c>
      <c r="C35" s="337"/>
      <c r="D35" s="337"/>
      <c r="E35" s="337"/>
      <c r="F35" s="337"/>
      <c r="G35" s="337"/>
      <c r="H35" s="337"/>
      <c r="I35" s="337"/>
      <c r="J35" s="337"/>
      <c r="K35" s="62"/>
      <c r="L35" s="73" t="e">
        <f>VLOOKUP(C7,'Base Cost_Calc'!$A$7:$AS$56,45,FALSE)</f>
        <v>#N/A</v>
      </c>
    </row>
    <row r="36" spans="1:14" s="45" customFormat="1" ht="14.45" customHeight="1" x14ac:dyDescent="0.25">
      <c r="A36" s="126" t="s">
        <v>593</v>
      </c>
      <c r="B36" s="340" t="s">
        <v>594</v>
      </c>
      <c r="C36" s="340"/>
      <c r="D36" s="340"/>
      <c r="E36" s="340"/>
      <c r="F36" s="340"/>
      <c r="G36" s="340"/>
      <c r="H36" s="340"/>
      <c r="I36" s="340"/>
      <c r="J36" s="340"/>
      <c r="K36" s="51" t="e">
        <f>VLOOKUP(C7,'BC ADM'!$B$3:$I$52,9,FALSE)</f>
        <v>#N/A</v>
      </c>
      <c r="L36" s="47"/>
    </row>
    <row r="37" spans="1:14" s="45" customFormat="1" ht="14.45" customHeight="1" x14ac:dyDescent="0.25">
      <c r="A37" s="126"/>
      <c r="B37" s="126" t="s">
        <v>595</v>
      </c>
      <c r="C37" s="337" t="s">
        <v>596</v>
      </c>
      <c r="D37" s="337"/>
      <c r="E37" s="337"/>
      <c r="F37" s="337"/>
      <c r="G37" s="337"/>
      <c r="H37" s="337"/>
      <c r="I37" s="337"/>
      <c r="J37" s="337"/>
      <c r="K37" s="51" t="e">
        <f>VLOOKUP(C7,'BC ADM'!$B$3:$D$52,4,FALSE)</f>
        <v>#N/A</v>
      </c>
      <c r="L37" s="47"/>
    </row>
    <row r="38" spans="1:14" s="45" customFormat="1" ht="14.45" customHeight="1" x14ac:dyDescent="0.25">
      <c r="A38" s="126"/>
      <c r="B38" s="126" t="s">
        <v>597</v>
      </c>
      <c r="C38" s="337" t="s">
        <v>598</v>
      </c>
      <c r="D38" s="337"/>
      <c r="E38" s="337"/>
      <c r="F38" s="337"/>
      <c r="G38" s="337"/>
      <c r="H38" s="337"/>
      <c r="I38" s="337"/>
      <c r="J38" s="337"/>
      <c r="K38" s="51" t="e">
        <f>VLOOKUP(C7,'BC ADM'!$B$3:$E$52,5,FALSE)</f>
        <v>#N/A</v>
      </c>
      <c r="L38" s="47"/>
    </row>
    <row r="39" spans="1:14" s="45" customFormat="1" ht="14.45" customHeight="1" x14ac:dyDescent="0.25">
      <c r="A39" s="126"/>
      <c r="B39" s="126" t="s">
        <v>599</v>
      </c>
      <c r="C39" s="337" t="s">
        <v>600</v>
      </c>
      <c r="D39" s="337"/>
      <c r="E39" s="337"/>
      <c r="F39" s="337"/>
      <c r="G39" s="337"/>
      <c r="H39" s="337"/>
      <c r="I39" s="337"/>
      <c r="J39" s="337"/>
      <c r="K39" s="51" t="e">
        <f>VLOOKUP(C7,'BC ADM'!$B$3:$F$52,6,FALSE)</f>
        <v>#N/A</v>
      </c>
      <c r="L39" s="47"/>
    </row>
    <row r="40" spans="1:14" s="45" customFormat="1" ht="14.45" customHeight="1" x14ac:dyDescent="0.25">
      <c r="A40" s="126"/>
      <c r="B40" s="126" t="s">
        <v>601</v>
      </c>
      <c r="C40" s="337" t="s">
        <v>602</v>
      </c>
      <c r="D40" s="337"/>
      <c r="E40" s="337"/>
      <c r="F40" s="337"/>
      <c r="G40" s="337"/>
      <c r="H40" s="337"/>
      <c r="I40" s="337"/>
      <c r="J40" s="337"/>
      <c r="K40" s="51" t="e">
        <f>VLOOKUP(C7,'BC ADM'!$B$3:$G$52,7,FALSE)</f>
        <v>#N/A</v>
      </c>
      <c r="L40" s="47"/>
    </row>
    <row r="41" spans="1:14" s="45" customFormat="1" ht="14.45" customHeight="1" x14ac:dyDescent="0.25">
      <c r="A41" s="343" t="s">
        <v>487</v>
      </c>
      <c r="B41" s="343"/>
      <c r="C41" s="343"/>
      <c r="D41" s="343"/>
      <c r="E41" s="343"/>
      <c r="F41" s="343"/>
      <c r="G41" s="343"/>
      <c r="H41" s="343"/>
      <c r="I41" s="343"/>
      <c r="J41" s="343"/>
      <c r="K41" s="343"/>
      <c r="L41" s="46"/>
      <c r="N41" s="48"/>
    </row>
    <row r="42" spans="1:14" s="45" customFormat="1" ht="14.45" customHeight="1" x14ac:dyDescent="0.25">
      <c r="A42" s="126" t="s">
        <v>554</v>
      </c>
      <c r="B42" s="337" t="s">
        <v>603</v>
      </c>
      <c r="C42" s="337"/>
      <c r="D42" s="337"/>
      <c r="E42" s="337"/>
      <c r="F42" s="337"/>
      <c r="G42" s="337"/>
      <c r="H42" s="337"/>
      <c r="I42" s="337"/>
      <c r="J42" s="337"/>
      <c r="K42"/>
      <c r="L42" s="52" t="e">
        <f>VLOOKUP(C7,'Base Cost_Calc'!$A$7:$N$56,14,FALSE)</f>
        <v>#N/A</v>
      </c>
      <c r="N42" s="47"/>
    </row>
    <row r="43" spans="1:14" s="45" customFormat="1" ht="14.45" customHeight="1" x14ac:dyDescent="0.25">
      <c r="A43" s="126"/>
      <c r="B43" s="60" t="s">
        <v>604</v>
      </c>
      <c r="C43" s="337" t="s">
        <v>605</v>
      </c>
      <c r="D43" s="337"/>
      <c r="E43" s="337"/>
      <c r="F43" s="337"/>
      <c r="G43" s="337"/>
      <c r="H43" s="337"/>
      <c r="I43" s="337"/>
      <c r="J43" s="337"/>
      <c r="K43" s="50" t="e">
        <f>VLOOKUP(C7,'Base Cost_Calc'!$A$7:$H$56,8,FALSE)</f>
        <v>#N/A</v>
      </c>
      <c r="L43" s="47"/>
      <c r="N43" s="47"/>
    </row>
    <row r="44" spans="1:14" s="45" customFormat="1" ht="14.45" customHeight="1" x14ac:dyDescent="0.25">
      <c r="A44" s="126"/>
      <c r="B44" s="61" t="s">
        <v>606</v>
      </c>
      <c r="C44" s="337" t="s">
        <v>607</v>
      </c>
      <c r="D44" s="337"/>
      <c r="E44" s="337"/>
      <c r="F44" s="337"/>
      <c r="G44" s="337"/>
      <c r="H44" s="337"/>
      <c r="I44" s="337"/>
      <c r="J44" s="337"/>
      <c r="K44" s="50" t="e">
        <f>VLOOKUP(C7,'Base Cost_Calc'!$A$7:$D$56,4,FALSE)</f>
        <v>#N/A</v>
      </c>
      <c r="L44" s="47"/>
      <c r="N44" s="47"/>
    </row>
    <row r="45" spans="1:14" s="45" customFormat="1" ht="14.45" customHeight="1" x14ac:dyDescent="0.25">
      <c r="A45" s="126"/>
      <c r="B45" s="61" t="s">
        <v>608</v>
      </c>
      <c r="C45" s="337" t="s">
        <v>609</v>
      </c>
      <c r="D45" s="337"/>
      <c r="E45" s="337"/>
      <c r="F45" s="337"/>
      <c r="G45" s="337"/>
      <c r="H45" s="337"/>
      <c r="I45" s="337"/>
      <c r="J45" s="337"/>
      <c r="K45" s="50" t="e">
        <f>VLOOKUP(C7,'Base Cost_Calc'!$A$7:$G$56,7,FALSE)</f>
        <v>#N/A</v>
      </c>
      <c r="L45" s="47"/>
      <c r="N45" s="47"/>
    </row>
    <row r="46" spans="1:14" s="45" customFormat="1" ht="14.45" customHeight="1" x14ac:dyDescent="0.25">
      <c r="A46" s="126"/>
      <c r="B46" s="60" t="s">
        <v>610</v>
      </c>
      <c r="C46" s="337" t="s">
        <v>611</v>
      </c>
      <c r="D46" s="337"/>
      <c r="E46" s="337"/>
      <c r="F46" s="337"/>
      <c r="G46" s="337"/>
      <c r="H46" s="337"/>
      <c r="I46" s="337"/>
      <c r="J46" s="337"/>
      <c r="K46" s="50" t="e">
        <f>VLOOKUP(C7,'Base Cost_Calc'!$A$7:$J$56,10,FALSE)</f>
        <v>#N/A</v>
      </c>
      <c r="L46" s="47"/>
      <c r="N46" s="47"/>
    </row>
    <row r="47" spans="1:14" s="45" customFormat="1" ht="14.45" customHeight="1" x14ac:dyDescent="0.25">
      <c r="A47" s="126"/>
      <c r="B47" s="61" t="s">
        <v>612</v>
      </c>
      <c r="C47" s="337" t="s">
        <v>613</v>
      </c>
      <c r="D47" s="337"/>
      <c r="E47" s="337"/>
      <c r="F47" s="337"/>
      <c r="G47" s="337"/>
      <c r="H47" s="337"/>
      <c r="I47" s="337"/>
      <c r="J47" s="337"/>
      <c r="K47" s="50" t="e">
        <f>VLOOKUP(C7,'Base Cost_Calc'!$A$7:$I$56,9,FALSE)</f>
        <v>#N/A</v>
      </c>
      <c r="L47" s="47"/>
      <c r="N47" s="47"/>
    </row>
    <row r="48" spans="1:14" s="45" customFormat="1" ht="14.45" customHeight="1" x14ac:dyDescent="0.25">
      <c r="A48" s="126"/>
      <c r="B48" s="60" t="s">
        <v>492</v>
      </c>
      <c r="C48" s="337" t="s">
        <v>614</v>
      </c>
      <c r="D48" s="337"/>
      <c r="E48" s="337"/>
      <c r="F48" s="337"/>
      <c r="G48" s="337"/>
      <c r="H48" s="337"/>
      <c r="I48" s="337"/>
      <c r="J48" s="337"/>
      <c r="K48" s="50" t="e">
        <f>VLOOKUP(C7,'Base Cost_Calc'!$A$7:$L$56,12,FALSE)</f>
        <v>#N/A</v>
      </c>
      <c r="L48" s="47"/>
      <c r="N48" s="47"/>
    </row>
    <row r="49" spans="1:14" s="45" customFormat="1" ht="14.45" customHeight="1" x14ac:dyDescent="0.25">
      <c r="A49" s="126"/>
      <c r="B49" s="61" t="s">
        <v>615</v>
      </c>
      <c r="C49" s="337" t="s">
        <v>616</v>
      </c>
      <c r="D49" s="337"/>
      <c r="E49" s="337"/>
      <c r="F49" s="337"/>
      <c r="G49" s="337"/>
      <c r="H49" s="337"/>
      <c r="I49" s="337"/>
      <c r="J49" s="337"/>
      <c r="K49" s="50" t="e">
        <f>VLOOKUP(C7,'Base Cost_Calc'!$A$7:$K$56,11,FALSE)</f>
        <v>#N/A</v>
      </c>
      <c r="L49" s="47"/>
      <c r="N49" s="47"/>
    </row>
    <row r="50" spans="1:14" s="45" customFormat="1" ht="14.45" customHeight="1" x14ac:dyDescent="0.25">
      <c r="A50" s="126"/>
      <c r="B50" s="60" t="s">
        <v>617</v>
      </c>
      <c r="C50" s="337" t="s">
        <v>618</v>
      </c>
      <c r="D50" s="337"/>
      <c r="E50" s="337"/>
      <c r="F50" s="337"/>
      <c r="G50" s="337"/>
      <c r="H50" s="337"/>
      <c r="I50" s="337"/>
      <c r="J50" s="337"/>
      <c r="K50" s="50" t="e">
        <f>VLOOKUP(C7,'Base Cost_Calc'!$A$7:$M$56,13,FALSE)</f>
        <v>#N/A</v>
      </c>
      <c r="L50" s="47"/>
      <c r="N50" s="47"/>
    </row>
    <row r="51" spans="1:14" s="45" customFormat="1" ht="14.45" customHeight="1" x14ac:dyDescent="0.25">
      <c r="A51" s="126" t="s">
        <v>555</v>
      </c>
      <c r="B51" s="337" t="s">
        <v>619</v>
      </c>
      <c r="C51" s="337"/>
      <c r="D51" s="337"/>
      <c r="E51" s="337"/>
      <c r="F51" s="337"/>
      <c r="G51" s="337"/>
      <c r="H51" s="337"/>
      <c r="I51" s="337"/>
      <c r="J51" s="337"/>
      <c r="K51"/>
      <c r="L51" s="52" t="e">
        <f>VLOOKUP(C7,'Base Cost_Calc'!$A$7:$Y$56,25,FALSE)</f>
        <v>#N/A</v>
      </c>
      <c r="N51" s="48"/>
    </row>
    <row r="52" spans="1:14" s="45" customFormat="1" ht="14.45" customHeight="1" x14ac:dyDescent="0.25">
      <c r="A52" s="126"/>
      <c r="B52" t="s">
        <v>620</v>
      </c>
      <c r="C52" s="337" t="s">
        <v>621</v>
      </c>
      <c r="D52" s="337"/>
      <c r="E52" s="337"/>
      <c r="F52" s="337"/>
      <c r="G52" s="337"/>
      <c r="H52" s="337"/>
      <c r="I52" s="337"/>
      <c r="J52" s="337"/>
      <c r="K52" s="68" t="e">
        <f>VLOOKUP(C7,'Base Cost_Calc'!$A$7:$P$56,16,FALSE)</f>
        <v>#N/A</v>
      </c>
      <c r="L52" s="52"/>
      <c r="N52" s="48"/>
    </row>
    <row r="53" spans="1:14" s="45" customFormat="1" ht="14.45" customHeight="1" x14ac:dyDescent="0.25">
      <c r="A53" s="126"/>
      <c r="B53" s="16" t="s">
        <v>622</v>
      </c>
      <c r="C53" s="337" t="s">
        <v>623</v>
      </c>
      <c r="D53" s="337"/>
      <c r="E53" s="337"/>
      <c r="F53" s="337"/>
      <c r="G53" s="337"/>
      <c r="H53" s="337"/>
      <c r="I53" s="337"/>
      <c r="J53" s="337"/>
      <c r="K53" s="1" t="e">
        <f>VLOOKUP(C7,'Base Cost_Calc'!$A$7:$O$56,15,FALSE)</f>
        <v>#N/A</v>
      </c>
      <c r="L53" s="52"/>
      <c r="N53" s="48"/>
    </row>
    <row r="54" spans="1:14" s="45" customFormat="1" ht="14.45" customHeight="1" x14ac:dyDescent="0.25">
      <c r="A54" s="126"/>
      <c r="B54" t="s">
        <v>624</v>
      </c>
      <c r="C54" s="337" t="s">
        <v>625</v>
      </c>
      <c r="D54" s="337"/>
      <c r="E54" s="337"/>
      <c r="F54" s="337"/>
      <c r="G54" s="337"/>
      <c r="H54" s="337"/>
      <c r="I54" s="337"/>
      <c r="J54" s="337"/>
      <c r="K54" s="68" t="e">
        <f>VLOOKUP(C7,'Base Cost_Calc'!$A$7:$R$56,18,FALSE)</f>
        <v>#N/A</v>
      </c>
      <c r="L54" s="52"/>
      <c r="N54" s="48"/>
    </row>
    <row r="55" spans="1:14" s="45" customFormat="1" ht="14.45" customHeight="1" x14ac:dyDescent="0.25">
      <c r="A55" s="126"/>
      <c r="B55" s="16" t="s">
        <v>626</v>
      </c>
      <c r="C55" s="337" t="s">
        <v>627</v>
      </c>
      <c r="D55" s="337"/>
      <c r="E55" s="337"/>
      <c r="F55" s="337"/>
      <c r="G55" s="337"/>
      <c r="H55" s="337"/>
      <c r="I55" s="337"/>
      <c r="J55" s="337"/>
      <c r="K55" s="1" t="e">
        <f>VLOOKUP(C7,'Base Cost_Calc'!$A$7:$Q$56,17,FALSE)</f>
        <v>#N/A</v>
      </c>
      <c r="L55" s="52"/>
      <c r="N55" s="48"/>
    </row>
    <row r="56" spans="1:14" s="45" customFormat="1" ht="14.45" customHeight="1" x14ac:dyDescent="0.25">
      <c r="A56" s="126"/>
      <c r="B56" t="s">
        <v>628</v>
      </c>
      <c r="C56" s="337" t="s">
        <v>629</v>
      </c>
      <c r="D56" s="337"/>
      <c r="E56" s="337"/>
      <c r="F56" s="337"/>
      <c r="G56" s="337"/>
      <c r="H56" s="337"/>
      <c r="I56" s="337"/>
      <c r="J56" s="337"/>
      <c r="K56" s="68" t="e">
        <f>VLOOKUP(C7,'Base Cost_Calc'!$A$7:$T$56,20,FALSE)</f>
        <v>#N/A</v>
      </c>
      <c r="L56" s="52"/>
      <c r="N56" s="48"/>
    </row>
    <row r="57" spans="1:14" s="45" customFormat="1" ht="14.45" customHeight="1" x14ac:dyDescent="0.25">
      <c r="A57" s="126"/>
      <c r="B57" s="16" t="s">
        <v>630</v>
      </c>
      <c r="C57" s="337" t="s">
        <v>631</v>
      </c>
      <c r="D57" s="337"/>
      <c r="E57" s="337"/>
      <c r="F57" s="337"/>
      <c r="G57" s="337"/>
      <c r="H57" s="337"/>
      <c r="I57" s="337"/>
      <c r="J57" s="337"/>
      <c r="K57" s="1" t="e">
        <f>VLOOKUP(C7,'Base Cost_Calc'!$A$7:$S$56,19,FALSE)</f>
        <v>#N/A</v>
      </c>
      <c r="L57" s="52"/>
      <c r="N57" s="48"/>
    </row>
    <row r="58" spans="1:14" s="45" customFormat="1" ht="14.45" customHeight="1" x14ac:dyDescent="0.25">
      <c r="A58" s="126"/>
      <c r="B58" s="18" t="s">
        <v>632</v>
      </c>
      <c r="C58" s="337" t="s">
        <v>633</v>
      </c>
      <c r="D58" s="337"/>
      <c r="E58" s="337"/>
      <c r="F58" s="337"/>
      <c r="G58" s="337"/>
      <c r="H58" s="337"/>
      <c r="I58" s="337"/>
      <c r="J58" s="337"/>
      <c r="K58" s="68" t="e">
        <f>VLOOKUP(C7,'Base Cost_Calc'!$A$7:$U$56,21,FALSE)</f>
        <v>#N/A</v>
      </c>
      <c r="L58" s="52"/>
      <c r="N58" s="48"/>
    </row>
    <row r="59" spans="1:14" s="45" customFormat="1" ht="14.45" customHeight="1" x14ac:dyDescent="0.25">
      <c r="A59" s="126"/>
      <c r="B59" s="18" t="s">
        <v>634</v>
      </c>
      <c r="C59" s="337" t="s">
        <v>635</v>
      </c>
      <c r="D59" s="337"/>
      <c r="E59" s="337"/>
      <c r="F59" s="337"/>
      <c r="G59" s="337"/>
      <c r="H59" s="337"/>
      <c r="I59" s="337"/>
      <c r="J59" s="337"/>
      <c r="K59" s="68" t="e">
        <f>VLOOKUP(C7,'Base Cost_Calc'!$A$7:$V$56,22,FALSE)</f>
        <v>#N/A</v>
      </c>
      <c r="L59" s="52"/>
      <c r="N59" s="48"/>
    </row>
    <row r="60" spans="1:14" s="45" customFormat="1" ht="14.45" customHeight="1" x14ac:dyDescent="0.25">
      <c r="A60" s="126"/>
      <c r="B60" s="18" t="s">
        <v>636</v>
      </c>
      <c r="C60" s="337" t="s">
        <v>637</v>
      </c>
      <c r="D60" s="337"/>
      <c r="E60" s="337"/>
      <c r="F60" s="337"/>
      <c r="G60" s="337"/>
      <c r="H60" s="337"/>
      <c r="I60" s="337"/>
      <c r="J60" s="337"/>
      <c r="K60" s="68" t="e">
        <f>VLOOKUP(C7,'Base Cost_Calc'!$A$7:$W$56,23,FALSE)</f>
        <v>#N/A</v>
      </c>
      <c r="L60" s="52"/>
      <c r="N60" s="48"/>
    </row>
    <row r="61" spans="1:14" s="45" customFormat="1" ht="14.45" customHeight="1" x14ac:dyDescent="0.25">
      <c r="A61" s="126"/>
      <c r="B61" s="18" t="s">
        <v>638</v>
      </c>
      <c r="C61" s="337" t="s">
        <v>639</v>
      </c>
      <c r="D61" s="337"/>
      <c r="E61" s="337"/>
      <c r="F61" s="337"/>
      <c r="G61" s="337"/>
      <c r="H61" s="337"/>
      <c r="I61" s="337"/>
      <c r="J61" s="337"/>
      <c r="K61" s="68" t="e">
        <f>VLOOKUP(C7,'Base Cost_Calc'!$A$7:$X$56,24,FALSE)</f>
        <v>#N/A</v>
      </c>
      <c r="L61" s="52"/>
      <c r="N61" s="48"/>
    </row>
    <row r="62" spans="1:14" s="45" customFormat="1" ht="14.45" customHeight="1" x14ac:dyDescent="0.25">
      <c r="A62" s="126" t="s">
        <v>557</v>
      </c>
      <c r="B62" s="337" t="s">
        <v>640</v>
      </c>
      <c r="C62" s="337"/>
      <c r="D62" s="337"/>
      <c r="E62" s="337"/>
      <c r="F62" s="337"/>
      <c r="G62" s="337"/>
      <c r="H62" s="337"/>
      <c r="I62" s="337"/>
      <c r="J62" s="337"/>
      <c r="K62" s="68" t="e">
        <f>VLOOKUP(C7,'Base Cost_Calc'!$A$7:$AN$56,40,FALSE)</f>
        <v>#N/A</v>
      </c>
      <c r="L62" s="52"/>
      <c r="M62" s="49"/>
      <c r="N62" s="48"/>
    </row>
    <row r="63" spans="1:14" s="45" customFormat="1" ht="14.45" customHeight="1" x14ac:dyDescent="0.25">
      <c r="A63" s="126"/>
      <c r="B63" s="18" t="s">
        <v>641</v>
      </c>
      <c r="C63" s="337" t="s">
        <v>642</v>
      </c>
      <c r="D63" s="337"/>
      <c r="E63" s="337"/>
      <c r="F63" s="337"/>
      <c r="G63" s="337"/>
      <c r="H63" s="337"/>
      <c r="I63" s="337"/>
      <c r="J63" s="337"/>
      <c r="K63" s="68" t="e">
        <f>VLOOKUP(C7,'Base Cost_Calc'!$A$7:$Z$56,26,FALSE)</f>
        <v>#N/A</v>
      </c>
      <c r="L63" s="52"/>
      <c r="M63" s="49"/>
      <c r="N63" s="48"/>
    </row>
    <row r="64" spans="1:14" s="45" customFormat="1" ht="14.45" customHeight="1" x14ac:dyDescent="0.25">
      <c r="A64" s="126"/>
      <c r="B64"/>
      <c r="C64" s="339" t="s">
        <v>643</v>
      </c>
      <c r="D64" s="337"/>
      <c r="E64" s="337"/>
      <c r="F64" s="337"/>
      <c r="G64" s="337"/>
      <c r="H64" s="337"/>
      <c r="I64" s="337"/>
      <c r="J64" s="337"/>
      <c r="K64" s="63"/>
      <c r="L64" s="52"/>
      <c r="M64" s="49"/>
      <c r="N64" s="48"/>
    </row>
    <row r="65" spans="1:14" s="45" customFormat="1" ht="14.45" customHeight="1" x14ac:dyDescent="0.25">
      <c r="A65" s="126"/>
      <c r="B65"/>
      <c r="C65" s="339" t="s">
        <v>644</v>
      </c>
      <c r="D65" s="337"/>
      <c r="E65" s="337"/>
      <c r="F65" s="337"/>
      <c r="G65" s="337"/>
      <c r="H65" s="337"/>
      <c r="I65" s="337"/>
      <c r="J65" s="337"/>
      <c r="K65" s="63"/>
      <c r="L65" s="52"/>
      <c r="M65" s="49"/>
      <c r="N65" s="48"/>
    </row>
    <row r="66" spans="1:14" s="45" customFormat="1" ht="14.45" customHeight="1" x14ac:dyDescent="0.25">
      <c r="A66" s="126"/>
      <c r="B66"/>
      <c r="C66" s="339" t="s">
        <v>645</v>
      </c>
      <c r="D66" s="337"/>
      <c r="E66" s="337"/>
      <c r="F66" s="337"/>
      <c r="G66" s="337"/>
      <c r="H66" s="337"/>
      <c r="I66" s="337"/>
      <c r="J66" s="337"/>
      <c r="K66"/>
      <c r="L66" s="52"/>
      <c r="M66" s="49"/>
      <c r="N66" s="48"/>
    </row>
    <row r="67" spans="1:14" s="45" customFormat="1" ht="14.45" customHeight="1" x14ac:dyDescent="0.25">
      <c r="A67" s="126"/>
      <c r="B67" t="s">
        <v>646</v>
      </c>
      <c r="C67" s="337" t="s">
        <v>647</v>
      </c>
      <c r="D67" s="337"/>
      <c r="E67" s="337"/>
      <c r="F67" s="337"/>
      <c r="G67" s="337"/>
      <c r="H67" s="337"/>
      <c r="I67" s="337"/>
      <c r="J67" s="337"/>
      <c r="K67" s="68" t="e">
        <f>VLOOKUP(C7,'Base Cost_Calc'!$A$7:$AA$56,27,FALSE)</f>
        <v>#N/A</v>
      </c>
      <c r="L67" s="52"/>
      <c r="M67" s="49"/>
      <c r="N67" s="48"/>
    </row>
    <row r="68" spans="1:14" s="45" customFormat="1" ht="14.45" customHeight="1" x14ac:dyDescent="0.25">
      <c r="A68" s="126"/>
      <c r="B68"/>
      <c r="C68" s="339" t="s">
        <v>648</v>
      </c>
      <c r="D68" s="337"/>
      <c r="E68" s="337"/>
      <c r="F68" s="337"/>
      <c r="G68" s="337"/>
      <c r="H68" s="337"/>
      <c r="I68" s="337"/>
      <c r="J68" s="337"/>
      <c r="K68" s="63"/>
      <c r="L68" s="52"/>
      <c r="M68" s="49"/>
      <c r="N68" s="48"/>
    </row>
    <row r="69" spans="1:14" s="45" customFormat="1" ht="14.45" customHeight="1" x14ac:dyDescent="0.25">
      <c r="A69" s="126"/>
      <c r="B69"/>
      <c r="C69" s="339" t="s">
        <v>649</v>
      </c>
      <c r="D69" s="337"/>
      <c r="E69" s="337"/>
      <c r="F69" s="337"/>
      <c r="G69" s="337"/>
      <c r="H69" s="337"/>
      <c r="I69" s="337"/>
      <c r="J69" s="337"/>
      <c r="K69" s="63"/>
      <c r="L69" s="52"/>
      <c r="M69" s="49"/>
      <c r="N69" s="48"/>
    </row>
    <row r="70" spans="1:14" s="45" customFormat="1" ht="14.45" customHeight="1" x14ac:dyDescent="0.25">
      <c r="A70" s="126"/>
      <c r="B70"/>
      <c r="C70" s="339" t="s">
        <v>650</v>
      </c>
      <c r="D70" s="337"/>
      <c r="E70" s="337"/>
      <c r="F70" s="337"/>
      <c r="G70" s="337"/>
      <c r="H70" s="337"/>
      <c r="I70" s="337"/>
      <c r="J70" s="337"/>
      <c r="K70" s="63"/>
      <c r="L70" s="52"/>
      <c r="M70" s="49"/>
      <c r="N70" s="48"/>
    </row>
    <row r="71" spans="1:14" s="45" customFormat="1" ht="14.45" customHeight="1" x14ac:dyDescent="0.25">
      <c r="A71" s="126"/>
      <c r="B71" t="s">
        <v>651</v>
      </c>
      <c r="C71" s="337" t="s">
        <v>652</v>
      </c>
      <c r="D71" s="337"/>
      <c r="E71" s="337"/>
      <c r="F71" s="337"/>
      <c r="G71" s="337"/>
      <c r="H71" s="337"/>
      <c r="I71" s="337"/>
      <c r="J71" s="337"/>
      <c r="K71" s="68"/>
      <c r="L71" s="52" t="e">
        <f>VLOOKUP(C7,'Base Cost_Calc'!$A$7:$AD$56,30,FALSE)</f>
        <v>#N/A</v>
      </c>
      <c r="M71" s="49"/>
      <c r="N71" s="48"/>
    </row>
    <row r="72" spans="1:14" s="45" customFormat="1" ht="14.45" customHeight="1" x14ac:dyDescent="0.25">
      <c r="A72" s="126"/>
      <c r="B72" s="16" t="s">
        <v>653</v>
      </c>
      <c r="C72" s="337" t="s">
        <v>654</v>
      </c>
      <c r="D72" s="337"/>
      <c r="E72" s="337"/>
      <c r="F72" s="337"/>
      <c r="G72" s="337"/>
      <c r="H72" s="337"/>
      <c r="I72" s="337"/>
      <c r="J72" s="337"/>
      <c r="K72" s="1" t="e">
        <f>VLOOKUP(C7,'Base Cost_Calc'!$A$7:$AC$56,29,FALSE)</f>
        <v>#N/A</v>
      </c>
      <c r="L72" s="52"/>
      <c r="M72" s="49"/>
      <c r="N72" s="48"/>
    </row>
    <row r="73" spans="1:14" s="45" customFormat="1" ht="14.45" customHeight="1" x14ac:dyDescent="0.25">
      <c r="A73" s="126"/>
      <c r="B73" s="18" t="s">
        <v>655</v>
      </c>
      <c r="C73" s="337" t="s">
        <v>656</v>
      </c>
      <c r="D73" s="337"/>
      <c r="E73" s="337"/>
      <c r="F73" s="337"/>
      <c r="G73" s="337"/>
      <c r="H73" s="337"/>
      <c r="I73" s="337"/>
      <c r="J73" s="337"/>
      <c r="K73"/>
      <c r="L73" s="52" t="e">
        <f>VLOOKUP(C7,'Base Cost_Calc'!$A$7:$AG$56,33,FALSE)</f>
        <v>#N/A</v>
      </c>
      <c r="M73" s="49"/>
      <c r="N73" s="48"/>
    </row>
    <row r="74" spans="1:14" s="45" customFormat="1" ht="14.45" customHeight="1" x14ac:dyDescent="0.25">
      <c r="A74" s="126"/>
      <c r="B74" s="16" t="s">
        <v>657</v>
      </c>
      <c r="C74" s="337" t="s">
        <v>658</v>
      </c>
      <c r="D74" s="337"/>
      <c r="E74" s="337"/>
      <c r="F74" s="337"/>
      <c r="G74" s="337"/>
      <c r="H74" s="337"/>
      <c r="I74" s="337"/>
      <c r="J74" s="337"/>
      <c r="K74" s="1" t="e">
        <f>VLOOKUP(C7,'Base Cost_Calc'!$A$7:$AE$56,31,FALSE)</f>
        <v>#N/A</v>
      </c>
      <c r="L74" s="52"/>
      <c r="M74" s="49"/>
      <c r="N74" s="48"/>
    </row>
    <row r="75" spans="1:14" s="45" customFormat="1" ht="14.45" customHeight="1" x14ac:dyDescent="0.25">
      <c r="A75" s="126"/>
      <c r="B75" s="16" t="s">
        <v>659</v>
      </c>
      <c r="C75" s="337" t="s">
        <v>660</v>
      </c>
      <c r="D75" s="337"/>
      <c r="E75" s="337"/>
      <c r="F75" s="337"/>
      <c r="G75" s="337"/>
      <c r="H75" s="337"/>
      <c r="I75" s="337"/>
      <c r="J75" s="337"/>
      <c r="K75" s="1" t="e">
        <f>VLOOKUP(C7,'Base Cost_Calc'!$A$7:$AF$56,32,FALSE)</f>
        <v>#N/A</v>
      </c>
      <c r="L75" s="52"/>
      <c r="M75" s="49"/>
      <c r="N75" s="48"/>
    </row>
    <row r="76" spans="1:14" s="45" customFormat="1" ht="14.45" customHeight="1" x14ac:dyDescent="0.25">
      <c r="A76" s="126"/>
      <c r="B76" s="18" t="s">
        <v>661</v>
      </c>
      <c r="C76" s="337" t="s">
        <v>662</v>
      </c>
      <c r="D76" s="337"/>
      <c r="E76" s="337"/>
      <c r="F76" s="337"/>
      <c r="G76" s="337"/>
      <c r="H76" s="337"/>
      <c r="I76" s="337"/>
      <c r="J76" s="337"/>
      <c r="K76"/>
      <c r="L76" s="52" t="e">
        <f>VLOOKUP(C7,'Base Cost_Calc'!$A$7:$AI$56,35,FALSE)</f>
        <v>#N/A</v>
      </c>
      <c r="M76" s="49"/>
      <c r="N76" s="48"/>
    </row>
    <row r="77" spans="1:14" s="45" customFormat="1" ht="14.45" customHeight="1" x14ac:dyDescent="0.25">
      <c r="A77" s="126"/>
      <c r="B77" s="16" t="s">
        <v>663</v>
      </c>
      <c r="C77" s="337" t="s">
        <v>664</v>
      </c>
      <c r="D77" s="337"/>
      <c r="E77" s="337"/>
      <c r="F77" s="337"/>
      <c r="G77" s="337"/>
      <c r="H77" s="337"/>
      <c r="I77" s="337"/>
      <c r="J77" s="337"/>
      <c r="K77" t="e">
        <f>VLOOKUP(C7,'Base Cost_Calc'!$A$7:$AH$56,34,FALSE)</f>
        <v>#N/A</v>
      </c>
      <c r="L77" s="52"/>
      <c r="M77" s="49"/>
      <c r="N77" s="48"/>
    </row>
    <row r="78" spans="1:14" s="45" customFormat="1" ht="14.45" customHeight="1" x14ac:dyDescent="0.25">
      <c r="A78" s="126"/>
      <c r="B78" s="18" t="s">
        <v>665</v>
      </c>
      <c r="C78" s="337" t="s">
        <v>666</v>
      </c>
      <c r="D78" s="337"/>
      <c r="E78" s="337"/>
      <c r="F78" s="337"/>
      <c r="G78" s="337"/>
      <c r="H78" s="337"/>
      <c r="I78" s="337"/>
      <c r="J78" s="337"/>
      <c r="K78"/>
      <c r="L78" s="52" t="e">
        <f>VLOOKUP(C7,'Base Cost_Calc'!$A$7:$AL$56,38,FALSE)</f>
        <v>#N/A</v>
      </c>
      <c r="M78" s="49"/>
      <c r="N78" s="48"/>
    </row>
    <row r="79" spans="1:14" s="45" customFormat="1" ht="14.45" customHeight="1" x14ac:dyDescent="0.25">
      <c r="A79" s="126"/>
      <c r="B79" s="16" t="s">
        <v>667</v>
      </c>
      <c r="C79" s="337" t="s">
        <v>668</v>
      </c>
      <c r="D79" s="337"/>
      <c r="E79" s="337"/>
      <c r="F79" s="337"/>
      <c r="G79" s="337"/>
      <c r="H79" s="337"/>
      <c r="I79" s="337"/>
      <c r="J79" s="337"/>
      <c r="K79" s="1" t="e">
        <f>VLOOKUP(C7,'Base Cost_Calc'!$A$7:$AK$56,36,FALSE)</f>
        <v>#N/A</v>
      </c>
      <c r="L79" s="52"/>
      <c r="M79" s="49"/>
      <c r="N79" s="48"/>
    </row>
    <row r="80" spans="1:14" s="45" customFormat="1" ht="14.45" customHeight="1" x14ac:dyDescent="0.25">
      <c r="A80" s="126"/>
      <c r="B80" s="16" t="s">
        <v>669</v>
      </c>
      <c r="C80" s="337" t="s">
        <v>670</v>
      </c>
      <c r="D80" s="337"/>
      <c r="E80" s="337"/>
      <c r="F80" s="337"/>
      <c r="G80" s="337"/>
      <c r="H80" s="337"/>
      <c r="I80" s="337"/>
      <c r="J80" s="337"/>
      <c r="K80" s="1" t="e">
        <f>VLOOKUP(C7,'Base Cost_Calc'!$A$7:$AL$56,37,FALSE)</f>
        <v>#N/A</v>
      </c>
      <c r="L80" s="52"/>
      <c r="N80" s="48"/>
    </row>
    <row r="81" spans="1:14" s="45" customFormat="1" ht="14.45" customHeight="1" x14ac:dyDescent="0.25">
      <c r="A81" s="126"/>
      <c r="B81" s="18" t="s">
        <v>671</v>
      </c>
      <c r="C81" s="337" t="s">
        <v>672</v>
      </c>
      <c r="D81" s="337"/>
      <c r="E81" s="337"/>
      <c r="F81" s="337"/>
      <c r="G81" s="337"/>
      <c r="H81" s="337"/>
      <c r="I81" s="337"/>
      <c r="J81" s="337"/>
      <c r="K81"/>
      <c r="L81" s="52"/>
      <c r="N81" s="48"/>
    </row>
    <row r="82" spans="1:14" s="45" customFormat="1" ht="14.45" customHeight="1" x14ac:dyDescent="0.25">
      <c r="A82" s="126" t="s">
        <v>559</v>
      </c>
      <c r="B82" s="337" t="s">
        <v>673</v>
      </c>
      <c r="C82" s="337"/>
      <c r="D82" s="337"/>
      <c r="E82" s="337"/>
      <c r="F82" s="337"/>
      <c r="G82" s="337"/>
      <c r="H82" s="337"/>
      <c r="I82" s="337"/>
      <c r="J82" s="337"/>
      <c r="K82"/>
      <c r="L82" s="52" t="e">
        <f>VLOOKUP(C7,'Base Cost_Calc'!$A$7:$AW$56,49,FALSE)</f>
        <v>#N/A</v>
      </c>
      <c r="N82" s="48"/>
    </row>
    <row r="83" spans="1:14" s="45" customFormat="1" ht="14.45" customHeight="1" x14ac:dyDescent="0.25">
      <c r="A83" s="126"/>
      <c r="B83" s="18" t="s">
        <v>674</v>
      </c>
      <c r="C83" s="337" t="s">
        <v>675</v>
      </c>
      <c r="D83" s="337"/>
      <c r="E83" s="337"/>
      <c r="F83" s="337"/>
      <c r="G83" s="337"/>
      <c r="H83" s="337"/>
      <c r="I83" s="337"/>
      <c r="J83" s="337"/>
      <c r="K83" s="68" t="e">
        <f>VLOOKUP(C7,'Base Cost_Calc'!$A$7:$AQ$56,43,FALSE)</f>
        <v>#N/A</v>
      </c>
      <c r="L83" s="52"/>
      <c r="N83" s="48"/>
    </row>
    <row r="84" spans="1:14" s="45" customFormat="1" ht="14.45" customHeight="1" x14ac:dyDescent="0.25">
      <c r="A84" s="126"/>
      <c r="B84" s="16" t="s">
        <v>676</v>
      </c>
      <c r="C84" s="337" t="s">
        <v>677</v>
      </c>
      <c r="D84" s="337"/>
      <c r="E84" s="337"/>
      <c r="F84" s="337"/>
      <c r="G84" s="337"/>
      <c r="H84" s="337"/>
      <c r="I84" s="337"/>
      <c r="J84" s="337"/>
      <c r="K84" s="1" t="e">
        <f>VLOOKUP(C7,'Base Cost_Calc'!$A$7:$AP$56,42,FALSE)</f>
        <v>#N/A</v>
      </c>
      <c r="L84" s="52"/>
      <c r="N84" s="48"/>
    </row>
    <row r="85" spans="1:14" s="45" customFormat="1" ht="14.45" customHeight="1" x14ac:dyDescent="0.25">
      <c r="A85" s="126"/>
      <c r="B85" t="s">
        <v>678</v>
      </c>
      <c r="C85" s="337" t="s">
        <v>679</v>
      </c>
      <c r="D85" s="337"/>
      <c r="E85" s="337"/>
      <c r="F85" s="337"/>
      <c r="G85" s="337"/>
      <c r="H85" s="337"/>
      <c r="I85" s="337"/>
      <c r="J85" s="337"/>
      <c r="K85" s="68" t="e">
        <f>VLOOKUP(C7,'Base Cost_Calc'!$A$7:$AU$56,47,FALSE)</f>
        <v>#N/A</v>
      </c>
      <c r="L85" s="52"/>
      <c r="N85" s="48"/>
    </row>
    <row r="86" spans="1:14" s="45" customFormat="1" ht="14.45" customHeight="1" x14ac:dyDescent="0.25">
      <c r="A86" s="126"/>
      <c r="B86" s="16" t="s">
        <v>680</v>
      </c>
      <c r="C86" s="337" t="s">
        <v>681</v>
      </c>
      <c r="D86" s="337"/>
      <c r="E86" s="337"/>
      <c r="F86" s="337"/>
      <c r="G86" s="337"/>
      <c r="H86" s="337"/>
      <c r="I86" s="337"/>
      <c r="J86" s="337"/>
      <c r="K86" s="74" t="e">
        <f>VLOOKUP(C7,'Base Cost_Calc'!$A$7:$AR$56,44,FALSE)</f>
        <v>#N/A</v>
      </c>
      <c r="L86" s="52"/>
      <c r="N86" s="48"/>
    </row>
    <row r="87" spans="1:14" s="45" customFormat="1" ht="14.45" customHeight="1" x14ac:dyDescent="0.25">
      <c r="A87" s="126"/>
      <c r="B87" s="16" t="s">
        <v>682</v>
      </c>
      <c r="C87" s="337" t="s">
        <v>683</v>
      </c>
      <c r="D87" s="337"/>
      <c r="E87" s="337"/>
      <c r="F87" s="337"/>
      <c r="G87" s="337"/>
      <c r="H87" s="337"/>
      <c r="I87" s="337"/>
      <c r="J87" s="337"/>
      <c r="K87" s="1" t="e">
        <f>VLOOKUP(C7,'Base Cost_Calc'!$A$7:$AT$56,46,FALSE)</f>
        <v>#N/A</v>
      </c>
      <c r="L87" s="52"/>
      <c r="N87" s="48"/>
    </row>
    <row r="88" spans="1:14" s="45" customFormat="1" ht="14.45" customHeight="1" x14ac:dyDescent="0.25">
      <c r="A88" s="126"/>
      <c r="B88" s="16" t="s">
        <v>684</v>
      </c>
      <c r="C88" s="336" t="s">
        <v>685</v>
      </c>
      <c r="D88" s="337"/>
      <c r="E88" s="337"/>
      <c r="F88" s="337"/>
      <c r="G88" s="337"/>
      <c r="H88" s="337"/>
      <c r="I88" s="337"/>
      <c r="J88" s="337"/>
      <c r="K88" s="75" t="e">
        <f>VLOOKUP(C7,'Base Cost_Calc'!$A$7:$AU$56,47,FALSE)</f>
        <v>#N/A</v>
      </c>
      <c r="L88" s="52"/>
      <c r="N88" s="48"/>
    </row>
    <row r="89" spans="1:14" s="45" customFormat="1" ht="14.45" customHeight="1" x14ac:dyDescent="0.25">
      <c r="A89" s="126"/>
      <c r="B89" s="62"/>
      <c r="C89" s="336" t="s">
        <v>686</v>
      </c>
      <c r="D89" s="337"/>
      <c r="E89" s="337"/>
      <c r="F89" s="337"/>
      <c r="G89" s="337"/>
      <c r="H89" s="337"/>
      <c r="I89" s="337"/>
      <c r="J89" s="337"/>
      <c r="K89" s="62"/>
      <c r="L89" s="53"/>
      <c r="N89" s="47"/>
    </row>
    <row r="90" spans="1:14" x14ac:dyDescent="0.25">
      <c r="B90" s="42" t="s">
        <v>687</v>
      </c>
      <c r="C90" s="338" t="s">
        <v>688</v>
      </c>
      <c r="D90" s="337"/>
      <c r="E90" s="337"/>
      <c r="F90" s="337"/>
      <c r="G90" s="337"/>
      <c r="H90" s="337"/>
      <c r="I90" s="337"/>
      <c r="J90" s="337"/>
      <c r="K90" s="57" t="e">
        <f>VLOOKUP(C7,'Base Cost_Calc'!$A$7:$AV$56,48,FALSE)</f>
        <v>#N/A</v>
      </c>
    </row>
    <row r="91" spans="1:14" x14ac:dyDescent="0.25">
      <c r="A91" s="42" t="s">
        <v>561</v>
      </c>
      <c r="B91" s="338" t="s">
        <v>689</v>
      </c>
      <c r="C91" s="337"/>
      <c r="D91" s="337"/>
      <c r="E91" s="337"/>
      <c r="F91" s="337"/>
      <c r="G91" s="337"/>
      <c r="H91" s="337"/>
      <c r="I91" s="337"/>
      <c r="J91" s="337"/>
      <c r="L91" s="57" t="e">
        <f>VLOOKUP(C7,'Base Cost_Calc'!$A$7:$AX$56,50,FALSE)</f>
        <v>#N/A</v>
      </c>
    </row>
  </sheetData>
  <mergeCells count="92">
    <mergeCell ref="C32:J32"/>
    <mergeCell ref="B25:J25"/>
    <mergeCell ref="C26:J26"/>
    <mergeCell ref="C27:J27"/>
    <mergeCell ref="C28:J28"/>
    <mergeCell ref="C29:J29"/>
    <mergeCell ref="C22:J22"/>
    <mergeCell ref="C23:J23"/>
    <mergeCell ref="C24:J24"/>
    <mergeCell ref="C30:J30"/>
    <mergeCell ref="C31:J31"/>
    <mergeCell ref="A6:L6"/>
    <mergeCell ref="A7:B7"/>
    <mergeCell ref="E7:J7"/>
    <mergeCell ref="B8:L8"/>
    <mergeCell ref="B10:J10"/>
    <mergeCell ref="A1:L1"/>
    <mergeCell ref="A2:L2"/>
    <mergeCell ref="A3:L3"/>
    <mergeCell ref="A4:L4"/>
    <mergeCell ref="A5:L5"/>
    <mergeCell ref="B33:K33"/>
    <mergeCell ref="A34:L34"/>
    <mergeCell ref="A41:K41"/>
    <mergeCell ref="C43:J43"/>
    <mergeCell ref="A9:L9"/>
    <mergeCell ref="B11:J11"/>
    <mergeCell ref="B12:J12"/>
    <mergeCell ref="B13:J13"/>
    <mergeCell ref="B14:J14"/>
    <mergeCell ref="C15:J15"/>
    <mergeCell ref="C16:J16"/>
    <mergeCell ref="C17:J17"/>
    <mergeCell ref="C18:J18"/>
    <mergeCell ref="C19:J19"/>
    <mergeCell ref="C20:J20"/>
    <mergeCell ref="C21:J21"/>
    <mergeCell ref="B82:J82"/>
    <mergeCell ref="B35:J35"/>
    <mergeCell ref="B36:J36"/>
    <mergeCell ref="C37:J37"/>
    <mergeCell ref="C38:J38"/>
    <mergeCell ref="C39:J39"/>
    <mergeCell ref="C40:J40"/>
    <mergeCell ref="C44:J44"/>
    <mergeCell ref="C45:J45"/>
    <mergeCell ref="C46:J46"/>
    <mergeCell ref="C47:J47"/>
    <mergeCell ref="C48:J48"/>
    <mergeCell ref="C49:J49"/>
    <mergeCell ref="C50:J50"/>
    <mergeCell ref="B51:J51"/>
    <mergeCell ref="C52:J52"/>
    <mergeCell ref="C53:J53"/>
    <mergeCell ref="C54:J54"/>
    <mergeCell ref="C55:J55"/>
    <mergeCell ref="C56:J56"/>
    <mergeCell ref="C57:J57"/>
    <mergeCell ref="C58:J58"/>
    <mergeCell ref="C59:J59"/>
    <mergeCell ref="C60:J60"/>
    <mergeCell ref="C61:J61"/>
    <mergeCell ref="B62:J62"/>
    <mergeCell ref="C63:J63"/>
    <mergeCell ref="C64:J64"/>
    <mergeCell ref="C65:J65"/>
    <mergeCell ref="C66:J66"/>
    <mergeCell ref="C67:J67"/>
    <mergeCell ref="C75:J75"/>
    <mergeCell ref="C76:J76"/>
    <mergeCell ref="C77:J77"/>
    <mergeCell ref="C68:J68"/>
    <mergeCell ref="C69:J69"/>
    <mergeCell ref="C70:J70"/>
    <mergeCell ref="C71:J71"/>
    <mergeCell ref="C72:J72"/>
    <mergeCell ref="C89:J89"/>
    <mergeCell ref="C90:J90"/>
    <mergeCell ref="B91:J91"/>
    <mergeCell ref="B42:J42"/>
    <mergeCell ref="C84:J84"/>
    <mergeCell ref="C85:J85"/>
    <mergeCell ref="C86:J86"/>
    <mergeCell ref="C87:J87"/>
    <mergeCell ref="C88:J88"/>
    <mergeCell ref="C78:J78"/>
    <mergeCell ref="C79:J79"/>
    <mergeCell ref="C80:J80"/>
    <mergeCell ref="C81:J81"/>
    <mergeCell ref="C83:J83"/>
    <mergeCell ref="C73:J73"/>
    <mergeCell ref="C74:J74"/>
  </mergeCells>
  <pageMargins left="0.25" right="0.25" top="0" bottom="0" header="0" footer="0"/>
  <pageSetup scale="7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1899D-1821-4928-86FB-5D172E2D55D7}">
  <dimension ref="A1:T51"/>
  <sheetViews>
    <sheetView workbookViewId="0">
      <pane ySplit="1" topLeftCell="A2" activePane="bottomLeft" state="frozen"/>
      <selection pane="bottomLeft" activeCell="H29" sqref="H29"/>
    </sheetView>
  </sheetViews>
  <sheetFormatPr defaultRowHeight="15" x14ac:dyDescent="0.25"/>
  <cols>
    <col min="1" max="1" width="14.85546875" bestFit="1" customWidth="1"/>
    <col min="2" max="2" width="11.85546875" bestFit="1" customWidth="1"/>
    <col min="3" max="3" width="13.85546875" bestFit="1" customWidth="1"/>
    <col min="4" max="4" width="9.5703125" bestFit="1" customWidth="1"/>
    <col min="5" max="5" width="10.7109375" bestFit="1" customWidth="1"/>
    <col min="6" max="6" width="9.7109375" bestFit="1" customWidth="1"/>
    <col min="7" max="7" width="9.28515625" bestFit="1" customWidth="1"/>
    <col min="8" max="9" width="9.7109375" bestFit="1" customWidth="1"/>
    <col min="10" max="10" width="16.85546875" bestFit="1" customWidth="1"/>
    <col min="11" max="11" width="9.7109375" bestFit="1" customWidth="1"/>
    <col min="12" max="12" width="8.85546875" bestFit="1" customWidth="1"/>
    <col min="13" max="14" width="9.7109375" bestFit="1" customWidth="1"/>
    <col min="15" max="16" width="11.7109375" bestFit="1" customWidth="1"/>
    <col min="17" max="18" width="10.7109375" bestFit="1" customWidth="1"/>
    <col min="19" max="19" width="11.7109375" bestFit="1" customWidth="1"/>
    <col min="20" max="20" width="10.7109375" bestFit="1" customWidth="1"/>
  </cols>
  <sheetData>
    <row r="1" spans="1:20" s="27" customFormat="1" x14ac:dyDescent="0.25">
      <c r="A1" s="27" t="s">
        <v>690</v>
      </c>
      <c r="B1" s="27" t="s">
        <v>691</v>
      </c>
      <c r="C1" s="27" t="s">
        <v>692</v>
      </c>
      <c r="D1" s="27" t="s">
        <v>693</v>
      </c>
      <c r="E1" s="27" t="s">
        <v>694</v>
      </c>
      <c r="F1" s="27" t="s">
        <v>695</v>
      </c>
      <c r="G1" s="27" t="s">
        <v>696</v>
      </c>
      <c r="H1" s="27" t="s">
        <v>697</v>
      </c>
      <c r="I1" s="27" t="s">
        <v>698</v>
      </c>
      <c r="J1" s="27" t="s">
        <v>699</v>
      </c>
      <c r="K1" s="27" t="s">
        <v>700</v>
      </c>
      <c r="L1" s="27" t="s">
        <v>701</v>
      </c>
      <c r="M1" s="27" t="s">
        <v>702</v>
      </c>
      <c r="N1" s="27" t="s">
        <v>703</v>
      </c>
      <c r="O1" s="27" t="s">
        <v>704</v>
      </c>
      <c r="P1" s="27" t="s">
        <v>705</v>
      </c>
      <c r="Q1" s="27" t="s">
        <v>706</v>
      </c>
      <c r="R1" s="27" t="s">
        <v>707</v>
      </c>
      <c r="S1" s="27" t="s">
        <v>708</v>
      </c>
      <c r="T1" s="27" t="s">
        <v>709</v>
      </c>
    </row>
    <row r="2" spans="1:20" x14ac:dyDescent="0.25">
      <c r="A2">
        <v>50773</v>
      </c>
      <c r="B2">
        <v>914.75352699999996</v>
      </c>
      <c r="C2">
        <v>165.810024</v>
      </c>
      <c r="D2">
        <v>0</v>
      </c>
      <c r="E2">
        <v>146.51698200000001</v>
      </c>
      <c r="F2">
        <v>7.3803729999999996</v>
      </c>
      <c r="G2">
        <v>1.138355</v>
      </c>
      <c r="H2">
        <v>3.1919499999999998</v>
      </c>
      <c r="I2">
        <v>7.5823640000000001</v>
      </c>
      <c r="J2">
        <v>197.67098999999999</v>
      </c>
      <c r="K2">
        <v>1</v>
      </c>
      <c r="L2">
        <v>1</v>
      </c>
      <c r="M2">
        <v>0</v>
      </c>
      <c r="N2">
        <v>0</v>
      </c>
      <c r="O2">
        <v>786.15633500000001</v>
      </c>
      <c r="P2">
        <v>326.93767100000002</v>
      </c>
      <c r="Q2">
        <v>107.639411</v>
      </c>
      <c r="R2">
        <v>18.761486000000001</v>
      </c>
      <c r="S2">
        <v>303.5222</v>
      </c>
      <c r="T2">
        <v>29.295566999999998</v>
      </c>
    </row>
    <row r="3" spans="1:20" x14ac:dyDescent="0.25">
      <c r="A3">
        <v>50799</v>
      </c>
      <c r="B3">
        <v>588.23720400000002</v>
      </c>
      <c r="C3">
        <v>97.918616</v>
      </c>
      <c r="D3">
        <v>1.4873449999999999</v>
      </c>
      <c r="E3">
        <v>84.942032999999995</v>
      </c>
      <c r="F3">
        <v>1.512276</v>
      </c>
      <c r="G3">
        <v>0</v>
      </c>
      <c r="H3">
        <v>4.6238070000000002</v>
      </c>
      <c r="I3">
        <v>5.3531550000000001</v>
      </c>
      <c r="J3">
        <v>153.97556299999999</v>
      </c>
      <c r="K3">
        <v>0</v>
      </c>
      <c r="L3">
        <v>0</v>
      </c>
      <c r="M3">
        <v>0</v>
      </c>
      <c r="N3">
        <v>0</v>
      </c>
      <c r="O3">
        <v>484.43057800000003</v>
      </c>
      <c r="P3">
        <v>212.088719</v>
      </c>
      <c r="Q3">
        <v>90.149878000000001</v>
      </c>
      <c r="R3">
        <v>0</v>
      </c>
      <c r="S3">
        <v>182.191981</v>
      </c>
      <c r="T3">
        <v>0</v>
      </c>
    </row>
    <row r="4" spans="1:20" x14ac:dyDescent="0.25">
      <c r="A4">
        <v>50815</v>
      </c>
      <c r="B4">
        <v>669.33311800000001</v>
      </c>
      <c r="C4">
        <v>168.793206</v>
      </c>
      <c r="D4">
        <v>0.03</v>
      </c>
      <c r="E4">
        <v>130.088841</v>
      </c>
      <c r="F4">
        <v>18.577483999999998</v>
      </c>
      <c r="G4">
        <v>1.3908659999999999</v>
      </c>
      <c r="H4">
        <v>1.1148960000000001</v>
      </c>
      <c r="I4">
        <v>17.591118999999999</v>
      </c>
      <c r="J4">
        <v>239.55606299999999</v>
      </c>
      <c r="K4">
        <v>0</v>
      </c>
      <c r="L4">
        <v>0</v>
      </c>
      <c r="M4">
        <v>0</v>
      </c>
      <c r="N4">
        <v>0</v>
      </c>
      <c r="O4">
        <v>513.49456599999996</v>
      </c>
      <c r="P4">
        <v>243.70881</v>
      </c>
      <c r="Q4">
        <v>74.041895999999994</v>
      </c>
      <c r="R4">
        <v>0</v>
      </c>
      <c r="S4">
        <v>195.74386000000001</v>
      </c>
      <c r="T4">
        <v>0</v>
      </c>
    </row>
    <row r="5" spans="1:20" x14ac:dyDescent="0.25">
      <c r="A5">
        <v>50856</v>
      </c>
      <c r="B5">
        <v>434.67751800000002</v>
      </c>
      <c r="C5">
        <v>124.292423</v>
      </c>
      <c r="D5">
        <v>0.19321099999999999</v>
      </c>
      <c r="E5">
        <v>112.64570999999999</v>
      </c>
      <c r="F5">
        <v>4.0727700000000002</v>
      </c>
      <c r="G5">
        <v>0</v>
      </c>
      <c r="H5">
        <v>3</v>
      </c>
      <c r="I5">
        <v>4.3807320000000001</v>
      </c>
      <c r="J5">
        <v>154.478892</v>
      </c>
      <c r="K5">
        <v>0.49481999999999998</v>
      </c>
      <c r="L5">
        <v>0</v>
      </c>
      <c r="M5">
        <v>0.26</v>
      </c>
      <c r="N5">
        <v>0.23482</v>
      </c>
      <c r="O5">
        <v>399.78324099999998</v>
      </c>
      <c r="P5">
        <v>174.004865</v>
      </c>
      <c r="Q5">
        <v>78.636964000000006</v>
      </c>
      <c r="R5">
        <v>0</v>
      </c>
      <c r="S5">
        <v>147.141412</v>
      </c>
      <c r="T5">
        <v>0</v>
      </c>
    </row>
    <row r="6" spans="1:20" x14ac:dyDescent="0.25">
      <c r="A6">
        <v>50880</v>
      </c>
      <c r="B6">
        <v>3852.2452579999999</v>
      </c>
      <c r="C6">
        <v>502.73415699999998</v>
      </c>
      <c r="D6">
        <v>6.9075920000000002</v>
      </c>
      <c r="E6">
        <v>383.275553</v>
      </c>
      <c r="F6">
        <v>27.360548999999999</v>
      </c>
      <c r="G6">
        <v>0.97043599999999997</v>
      </c>
      <c r="H6">
        <v>17.480820999999999</v>
      </c>
      <c r="I6">
        <v>66.739205999999996</v>
      </c>
      <c r="J6">
        <v>1199.6423400000001</v>
      </c>
      <c r="K6">
        <v>99.926086999999995</v>
      </c>
      <c r="L6">
        <v>5.2804450000000003</v>
      </c>
      <c r="M6">
        <v>79.862088999999997</v>
      </c>
      <c r="N6">
        <v>14.783552999999999</v>
      </c>
      <c r="O6">
        <v>3384.4918360000001</v>
      </c>
      <c r="P6">
        <v>1448.260421</v>
      </c>
      <c r="Q6">
        <v>855.81041500000003</v>
      </c>
      <c r="R6">
        <v>144.51708199999999</v>
      </c>
      <c r="S6">
        <v>692.28508199999999</v>
      </c>
      <c r="T6">
        <v>243.61883599999999</v>
      </c>
    </row>
    <row r="7" spans="1:20" x14ac:dyDescent="0.25">
      <c r="A7">
        <v>50906</v>
      </c>
      <c r="B7">
        <v>301.14741900000001</v>
      </c>
      <c r="C7">
        <v>48.301706000000003</v>
      </c>
      <c r="D7">
        <v>0</v>
      </c>
      <c r="E7">
        <v>44.043765</v>
      </c>
      <c r="F7">
        <v>1</v>
      </c>
      <c r="G7">
        <v>0</v>
      </c>
      <c r="H7">
        <v>0.60715399999999997</v>
      </c>
      <c r="I7">
        <v>2.6507869999999998</v>
      </c>
      <c r="J7">
        <v>122.16118299999999</v>
      </c>
      <c r="K7">
        <v>0</v>
      </c>
      <c r="L7">
        <v>0</v>
      </c>
      <c r="M7">
        <v>0</v>
      </c>
      <c r="N7">
        <v>0</v>
      </c>
      <c r="O7">
        <v>266.678292</v>
      </c>
      <c r="P7">
        <v>124.86189400000001</v>
      </c>
      <c r="Q7">
        <v>42.081153999999998</v>
      </c>
      <c r="R7">
        <v>0</v>
      </c>
      <c r="S7">
        <v>99.735243999999994</v>
      </c>
      <c r="T7">
        <v>0</v>
      </c>
    </row>
    <row r="8" spans="1:20" x14ac:dyDescent="0.25">
      <c r="A8">
        <v>50922</v>
      </c>
      <c r="B8">
        <v>361.84546699999999</v>
      </c>
      <c r="C8">
        <v>92.311881</v>
      </c>
      <c r="D8">
        <v>0</v>
      </c>
      <c r="E8">
        <v>69.816096999999999</v>
      </c>
      <c r="F8">
        <v>4.3527469999999999</v>
      </c>
      <c r="G8">
        <v>0.5</v>
      </c>
      <c r="H8">
        <v>5.77522</v>
      </c>
      <c r="I8">
        <v>11.867817000000001</v>
      </c>
      <c r="J8">
        <v>63.683908000000002</v>
      </c>
      <c r="K8">
        <v>0</v>
      </c>
      <c r="L8">
        <v>0</v>
      </c>
      <c r="M8">
        <v>0</v>
      </c>
      <c r="N8">
        <v>0</v>
      </c>
      <c r="O8">
        <v>332.733228</v>
      </c>
      <c r="P8">
        <v>165.384851</v>
      </c>
      <c r="Q8">
        <v>138.77090999999999</v>
      </c>
      <c r="R8">
        <v>0</v>
      </c>
      <c r="S8">
        <v>28.577466999999999</v>
      </c>
      <c r="T8">
        <v>0</v>
      </c>
    </row>
    <row r="9" spans="1:20" x14ac:dyDescent="0.25">
      <c r="A9">
        <v>50948</v>
      </c>
      <c r="B9">
        <v>610.09409500000004</v>
      </c>
      <c r="C9">
        <v>106.749161</v>
      </c>
      <c r="D9">
        <v>0.26305800000000001</v>
      </c>
      <c r="E9">
        <v>82.605815000000007</v>
      </c>
      <c r="F9">
        <v>5.8746299999999998</v>
      </c>
      <c r="G9">
        <v>2.13</v>
      </c>
      <c r="H9">
        <v>3.2485550000000001</v>
      </c>
      <c r="I9">
        <v>12.627103</v>
      </c>
      <c r="J9">
        <v>0</v>
      </c>
      <c r="K9">
        <v>0</v>
      </c>
      <c r="L9">
        <v>0</v>
      </c>
      <c r="M9">
        <v>0</v>
      </c>
      <c r="N9">
        <v>0</v>
      </c>
      <c r="O9">
        <v>592.957447</v>
      </c>
      <c r="P9">
        <v>370.42060199999997</v>
      </c>
      <c r="Q9">
        <v>210.41422600000001</v>
      </c>
      <c r="R9">
        <v>0</v>
      </c>
      <c r="S9">
        <v>12.122619</v>
      </c>
      <c r="T9">
        <v>0</v>
      </c>
    </row>
    <row r="10" spans="1:20" x14ac:dyDescent="0.25">
      <c r="A10">
        <v>50963</v>
      </c>
      <c r="B10">
        <v>953.15085299999998</v>
      </c>
      <c r="C10">
        <v>254.13312300000001</v>
      </c>
      <c r="D10">
        <v>0.76524700000000001</v>
      </c>
      <c r="E10">
        <v>218.81790000000001</v>
      </c>
      <c r="F10">
        <v>12.462096000000001</v>
      </c>
      <c r="G10">
        <v>2.206124</v>
      </c>
      <c r="H10">
        <v>1.9411309999999999</v>
      </c>
      <c r="I10">
        <v>17.940625000000001</v>
      </c>
      <c r="J10">
        <v>201.993719</v>
      </c>
      <c r="K10">
        <v>6.22</v>
      </c>
      <c r="L10">
        <v>0</v>
      </c>
      <c r="M10">
        <v>5.22</v>
      </c>
      <c r="N10">
        <v>1</v>
      </c>
      <c r="O10">
        <v>770.13625000000002</v>
      </c>
      <c r="P10">
        <v>314.80588</v>
      </c>
      <c r="Q10">
        <v>146.66419300000001</v>
      </c>
      <c r="R10">
        <v>26.756180000000001</v>
      </c>
      <c r="S10">
        <v>270.32010400000001</v>
      </c>
      <c r="T10">
        <v>11.589893</v>
      </c>
    </row>
    <row r="11" spans="1:20" x14ac:dyDescent="0.25">
      <c r="A11">
        <v>50989</v>
      </c>
      <c r="B11">
        <v>789.89211599999999</v>
      </c>
      <c r="C11">
        <v>178.450874</v>
      </c>
      <c r="D11">
        <v>0.16853899999999999</v>
      </c>
      <c r="E11">
        <v>135.68025800000001</v>
      </c>
      <c r="F11">
        <v>8.7174010000000006</v>
      </c>
      <c r="G11">
        <v>0.5</v>
      </c>
      <c r="H11">
        <v>5.6235299999999997</v>
      </c>
      <c r="I11">
        <v>27.761146</v>
      </c>
      <c r="J11">
        <v>102.547929</v>
      </c>
      <c r="K11">
        <v>11.528389000000001</v>
      </c>
      <c r="L11">
        <v>7.8980999999999996E-2</v>
      </c>
      <c r="M11">
        <v>10.319407999999999</v>
      </c>
      <c r="N11">
        <v>1.1299999999999999</v>
      </c>
      <c r="O11">
        <v>681.36178199999995</v>
      </c>
      <c r="P11">
        <v>397.17999900000001</v>
      </c>
      <c r="Q11">
        <v>104.289581</v>
      </c>
      <c r="R11">
        <v>44.945695999999998</v>
      </c>
      <c r="S11">
        <v>134.946506</v>
      </c>
      <c r="T11">
        <v>0</v>
      </c>
    </row>
    <row r="12" spans="1:20" x14ac:dyDescent="0.25">
      <c r="A12">
        <v>51003</v>
      </c>
      <c r="B12">
        <v>1440.1573980000001</v>
      </c>
      <c r="C12">
        <v>246.62746000000001</v>
      </c>
      <c r="D12">
        <v>1.3806130000000001</v>
      </c>
      <c r="E12">
        <v>209.933525</v>
      </c>
      <c r="F12">
        <v>9.8784829999999992</v>
      </c>
      <c r="G12">
        <v>0</v>
      </c>
      <c r="H12">
        <v>7.724723</v>
      </c>
      <c r="I12">
        <v>17.710115999999999</v>
      </c>
      <c r="J12">
        <v>285.58907399999998</v>
      </c>
      <c r="K12">
        <v>47.837147000000002</v>
      </c>
      <c r="L12">
        <v>0</v>
      </c>
      <c r="M12">
        <v>47.837147000000002</v>
      </c>
      <c r="N12">
        <v>0</v>
      </c>
      <c r="O12">
        <v>1099.0945039999999</v>
      </c>
      <c r="P12">
        <v>393.75690200000003</v>
      </c>
      <c r="Q12">
        <v>239.12787700000001</v>
      </c>
      <c r="R12">
        <v>0</v>
      </c>
      <c r="S12">
        <v>466.20972499999999</v>
      </c>
      <c r="T12">
        <v>0</v>
      </c>
    </row>
    <row r="13" spans="1:20" x14ac:dyDescent="0.25">
      <c r="A13">
        <v>51029</v>
      </c>
      <c r="B13">
        <v>735.38601500000004</v>
      </c>
      <c r="C13">
        <v>151.7653</v>
      </c>
      <c r="D13">
        <v>0</v>
      </c>
      <c r="E13">
        <v>138.830546</v>
      </c>
      <c r="F13">
        <v>2.180269</v>
      </c>
      <c r="G13">
        <v>0.958704</v>
      </c>
      <c r="H13">
        <v>3.3714590000000002</v>
      </c>
      <c r="I13">
        <v>6.4243220000000001</v>
      </c>
      <c r="J13">
        <v>170.814176</v>
      </c>
      <c r="K13">
        <v>3.0068510000000002</v>
      </c>
      <c r="L13">
        <v>0.98258800000000002</v>
      </c>
      <c r="M13">
        <v>2.0242629999999999</v>
      </c>
      <c r="N13">
        <v>0</v>
      </c>
      <c r="O13">
        <v>638.06455600000004</v>
      </c>
      <c r="P13">
        <v>176.55676199999999</v>
      </c>
      <c r="Q13">
        <v>151.72673399999999</v>
      </c>
      <c r="R13">
        <v>38.754438999999998</v>
      </c>
      <c r="S13">
        <v>271.02662099999998</v>
      </c>
      <c r="T13">
        <v>0</v>
      </c>
    </row>
    <row r="14" spans="1:20" x14ac:dyDescent="0.25">
      <c r="A14">
        <v>51045</v>
      </c>
      <c r="B14">
        <v>1070.820651</v>
      </c>
      <c r="C14">
        <v>229.61576500000001</v>
      </c>
      <c r="D14">
        <v>1.8493900000000001</v>
      </c>
      <c r="E14">
        <v>164.18886000000001</v>
      </c>
      <c r="F14">
        <v>15.139855000000001</v>
      </c>
      <c r="G14">
        <v>1.0334779999999999</v>
      </c>
      <c r="H14">
        <v>11.225095</v>
      </c>
      <c r="I14">
        <v>36.179087000000003</v>
      </c>
      <c r="J14">
        <v>136.06218999999999</v>
      </c>
      <c r="K14">
        <v>0.127197</v>
      </c>
      <c r="L14">
        <v>0</v>
      </c>
      <c r="M14">
        <v>0.127197</v>
      </c>
      <c r="N14">
        <v>0</v>
      </c>
      <c r="O14">
        <v>939.26480200000003</v>
      </c>
      <c r="P14">
        <v>441.12169</v>
      </c>
      <c r="Q14">
        <v>115.07934</v>
      </c>
      <c r="R14">
        <v>27.418966999999999</v>
      </c>
      <c r="S14">
        <v>299.79431199999999</v>
      </c>
      <c r="T14">
        <v>55.850493</v>
      </c>
    </row>
    <row r="15" spans="1:20" x14ac:dyDescent="0.25">
      <c r="A15">
        <v>51060</v>
      </c>
      <c r="B15">
        <v>4107.9955380000001</v>
      </c>
      <c r="C15">
        <v>703.75477899999998</v>
      </c>
      <c r="D15">
        <v>4.8454430000000004</v>
      </c>
      <c r="E15">
        <v>602.090282</v>
      </c>
      <c r="F15">
        <v>35.138229000000003</v>
      </c>
      <c r="G15">
        <v>0.19473199999999999</v>
      </c>
      <c r="H15">
        <v>9.7695450000000008</v>
      </c>
      <c r="I15">
        <v>51.716548000000003</v>
      </c>
      <c r="J15">
        <v>1064.637152</v>
      </c>
      <c r="K15">
        <v>56.341386</v>
      </c>
      <c r="L15">
        <v>2</v>
      </c>
      <c r="M15">
        <v>49.826765999999999</v>
      </c>
      <c r="N15">
        <v>4.5146199999999999</v>
      </c>
      <c r="O15">
        <v>3274.1425949999998</v>
      </c>
      <c r="P15">
        <v>1395.4355109999999</v>
      </c>
      <c r="Q15">
        <v>592.23978599999998</v>
      </c>
      <c r="R15">
        <v>42.232858999999998</v>
      </c>
      <c r="S15">
        <v>1230.8602840000001</v>
      </c>
      <c r="T15">
        <v>13.374155</v>
      </c>
    </row>
    <row r="16" spans="1:20" x14ac:dyDescent="0.25">
      <c r="A16">
        <v>51128</v>
      </c>
      <c r="B16">
        <v>300.22610800000001</v>
      </c>
      <c r="C16">
        <v>79.469564000000005</v>
      </c>
      <c r="D16">
        <v>0</v>
      </c>
      <c r="E16">
        <v>58.344385000000003</v>
      </c>
      <c r="F16">
        <v>9.2559520000000006</v>
      </c>
      <c r="G16">
        <v>1</v>
      </c>
      <c r="H16">
        <v>5.9311309999999997</v>
      </c>
      <c r="I16">
        <v>4.9380959999999998</v>
      </c>
      <c r="J16">
        <v>147.66351299999999</v>
      </c>
      <c r="K16">
        <v>0</v>
      </c>
      <c r="L16">
        <v>0</v>
      </c>
      <c r="M16">
        <v>0</v>
      </c>
      <c r="N16">
        <v>0</v>
      </c>
      <c r="O16">
        <v>253.333426</v>
      </c>
      <c r="P16">
        <v>82.863634000000005</v>
      </c>
      <c r="Q16">
        <v>49.491379999999999</v>
      </c>
      <c r="R16">
        <v>0</v>
      </c>
      <c r="S16">
        <v>120.97841200000001</v>
      </c>
      <c r="T16">
        <v>0</v>
      </c>
    </row>
    <row r="17" spans="1:20" x14ac:dyDescent="0.25">
      <c r="A17">
        <v>51144</v>
      </c>
      <c r="B17">
        <v>511.47859799999998</v>
      </c>
      <c r="C17">
        <v>97.660865999999999</v>
      </c>
      <c r="D17">
        <v>0</v>
      </c>
      <c r="E17">
        <v>81.405229000000006</v>
      </c>
      <c r="F17">
        <v>6.5811190000000002</v>
      </c>
      <c r="G17">
        <v>0</v>
      </c>
      <c r="H17">
        <v>1.9971699999999999</v>
      </c>
      <c r="I17">
        <v>7.6773480000000003</v>
      </c>
      <c r="J17">
        <v>113.256816</v>
      </c>
      <c r="K17">
        <v>4</v>
      </c>
      <c r="L17">
        <v>0</v>
      </c>
      <c r="M17">
        <v>4</v>
      </c>
      <c r="N17">
        <v>0</v>
      </c>
      <c r="O17">
        <v>407.69259299999999</v>
      </c>
      <c r="P17">
        <v>144.091812</v>
      </c>
      <c r="Q17">
        <v>83.192176000000003</v>
      </c>
      <c r="R17">
        <v>9.6763739999999991</v>
      </c>
      <c r="S17">
        <v>170.73223100000001</v>
      </c>
      <c r="T17">
        <v>0</v>
      </c>
    </row>
    <row r="18" spans="1:20" x14ac:dyDescent="0.25">
      <c r="A18">
        <v>51169</v>
      </c>
      <c r="B18">
        <v>344.57435299999997</v>
      </c>
      <c r="C18">
        <v>56.949153000000003</v>
      </c>
      <c r="D18">
        <v>0.5</v>
      </c>
      <c r="E18">
        <v>52.217514000000001</v>
      </c>
      <c r="F18">
        <v>2.2316389999999999</v>
      </c>
      <c r="G18">
        <v>0</v>
      </c>
      <c r="H18">
        <v>0</v>
      </c>
      <c r="I18">
        <v>2</v>
      </c>
      <c r="J18">
        <v>52.935834999999997</v>
      </c>
      <c r="K18">
        <v>0</v>
      </c>
      <c r="L18">
        <v>0</v>
      </c>
      <c r="M18">
        <v>0</v>
      </c>
      <c r="N18">
        <v>0</v>
      </c>
      <c r="O18">
        <v>326.768936</v>
      </c>
      <c r="P18">
        <v>213.001643</v>
      </c>
      <c r="Q18">
        <v>103.31314999999999</v>
      </c>
      <c r="R18">
        <v>0</v>
      </c>
      <c r="S18">
        <v>10.454143</v>
      </c>
      <c r="T18">
        <v>0</v>
      </c>
    </row>
    <row r="19" spans="1:20" x14ac:dyDescent="0.25">
      <c r="A19">
        <v>51185</v>
      </c>
      <c r="B19">
        <v>672.91432199999997</v>
      </c>
      <c r="C19">
        <v>163.661305</v>
      </c>
      <c r="D19">
        <v>0.89086500000000002</v>
      </c>
      <c r="E19">
        <v>133.05934500000001</v>
      </c>
      <c r="F19">
        <v>6.0657779999999999</v>
      </c>
      <c r="G19">
        <v>1.883937</v>
      </c>
      <c r="H19">
        <v>10.607583</v>
      </c>
      <c r="I19">
        <v>11.153797000000001</v>
      </c>
      <c r="J19">
        <v>544.99496199999999</v>
      </c>
      <c r="K19">
        <v>0</v>
      </c>
      <c r="L19">
        <v>0</v>
      </c>
      <c r="M19">
        <v>0</v>
      </c>
      <c r="N19">
        <v>0</v>
      </c>
      <c r="O19">
        <v>625.96466299999997</v>
      </c>
      <c r="P19">
        <v>225.685811</v>
      </c>
      <c r="Q19">
        <v>92.930511999999993</v>
      </c>
      <c r="R19">
        <v>17.689219999999999</v>
      </c>
      <c r="S19">
        <v>278.65302000000003</v>
      </c>
      <c r="T19">
        <v>11.0061</v>
      </c>
    </row>
    <row r="20" spans="1:20" x14ac:dyDescent="0.25">
      <c r="A20">
        <v>51201</v>
      </c>
      <c r="B20">
        <v>866.03189299999997</v>
      </c>
      <c r="C20">
        <v>132.81131999999999</v>
      </c>
      <c r="D20">
        <v>0.64878499999999995</v>
      </c>
      <c r="E20">
        <v>112.39855799999999</v>
      </c>
      <c r="F20">
        <v>8.7595810000000007</v>
      </c>
      <c r="G20">
        <v>0</v>
      </c>
      <c r="H20">
        <v>2.8355190000000001</v>
      </c>
      <c r="I20">
        <v>8.1688770000000002</v>
      </c>
      <c r="J20">
        <v>161.74352999999999</v>
      </c>
      <c r="K20">
        <v>8.8363639999999997</v>
      </c>
      <c r="L20">
        <v>0</v>
      </c>
      <c r="M20">
        <v>4.8363639999999997</v>
      </c>
      <c r="N20">
        <v>4</v>
      </c>
      <c r="O20">
        <v>657.65362400000004</v>
      </c>
      <c r="P20">
        <v>263.31293699999998</v>
      </c>
      <c r="Q20">
        <v>107.917422</v>
      </c>
      <c r="R20">
        <v>0</v>
      </c>
      <c r="S20">
        <v>284.25909200000001</v>
      </c>
      <c r="T20">
        <v>2.1641729999999999</v>
      </c>
    </row>
    <row r="21" spans="1:20" x14ac:dyDescent="0.25">
      <c r="A21">
        <v>51227</v>
      </c>
      <c r="B21">
        <v>1169.148682</v>
      </c>
      <c r="C21">
        <v>294.96285799999998</v>
      </c>
      <c r="D21">
        <v>0</v>
      </c>
      <c r="E21">
        <v>244.46899199999999</v>
      </c>
      <c r="F21">
        <v>9.3881929999999993</v>
      </c>
      <c r="G21">
        <v>0</v>
      </c>
      <c r="H21">
        <v>4.59375</v>
      </c>
      <c r="I21">
        <v>36.511923000000003</v>
      </c>
      <c r="J21">
        <v>343.40458000000001</v>
      </c>
      <c r="K21">
        <v>0</v>
      </c>
      <c r="L21">
        <v>0</v>
      </c>
      <c r="M21">
        <v>0</v>
      </c>
      <c r="N21">
        <v>0</v>
      </c>
      <c r="O21">
        <v>1049.012831</v>
      </c>
      <c r="P21">
        <v>185.92702</v>
      </c>
      <c r="Q21">
        <v>128.415727</v>
      </c>
      <c r="R21">
        <v>182.081503</v>
      </c>
      <c r="S21">
        <v>552.58858099999998</v>
      </c>
      <c r="T21">
        <v>0</v>
      </c>
    </row>
    <row r="22" spans="1:20" x14ac:dyDescent="0.25">
      <c r="A22">
        <v>51243</v>
      </c>
      <c r="B22">
        <v>751.18041000000005</v>
      </c>
      <c r="C22">
        <v>203.87769299999999</v>
      </c>
      <c r="D22">
        <v>0.930898</v>
      </c>
      <c r="E22">
        <v>170.293937</v>
      </c>
      <c r="F22">
        <v>10.830178999999999</v>
      </c>
      <c r="G22">
        <v>2</v>
      </c>
      <c r="H22">
        <v>0.35702899999999999</v>
      </c>
      <c r="I22">
        <v>19.46565</v>
      </c>
      <c r="J22">
        <v>308.32548400000002</v>
      </c>
      <c r="K22">
        <v>0</v>
      </c>
      <c r="L22">
        <v>0</v>
      </c>
      <c r="M22">
        <v>0</v>
      </c>
      <c r="N22">
        <v>0</v>
      </c>
      <c r="O22">
        <v>638.08507999999995</v>
      </c>
      <c r="P22">
        <v>238.06431599999999</v>
      </c>
      <c r="Q22">
        <v>141.61533399999999</v>
      </c>
      <c r="R22">
        <v>11.566732999999999</v>
      </c>
      <c r="S22">
        <v>246.838697</v>
      </c>
      <c r="T22">
        <v>0</v>
      </c>
    </row>
    <row r="23" spans="1:20" x14ac:dyDescent="0.25">
      <c r="A23">
        <v>51284</v>
      </c>
      <c r="B23">
        <v>1978.0290869999999</v>
      </c>
      <c r="C23">
        <v>296.466274</v>
      </c>
      <c r="D23">
        <v>2.36537</v>
      </c>
      <c r="E23">
        <v>254.70919499999999</v>
      </c>
      <c r="F23">
        <v>9.6234190000000002</v>
      </c>
      <c r="G23">
        <v>2.0667819999999999</v>
      </c>
      <c r="H23">
        <v>4.3408239999999996</v>
      </c>
      <c r="I23">
        <v>23.360683999999999</v>
      </c>
      <c r="J23">
        <v>352.05800599999998</v>
      </c>
      <c r="K23">
        <v>8.1205940000000005</v>
      </c>
      <c r="L23">
        <v>0</v>
      </c>
      <c r="M23">
        <v>8.1205940000000005</v>
      </c>
      <c r="N23">
        <v>0</v>
      </c>
      <c r="O23">
        <v>1711.301453</v>
      </c>
      <c r="P23">
        <v>799.77773400000001</v>
      </c>
      <c r="Q23">
        <v>291.40829100000002</v>
      </c>
      <c r="R23">
        <v>21.046128</v>
      </c>
      <c r="S23">
        <v>599.0693</v>
      </c>
      <c r="T23">
        <v>0</v>
      </c>
    </row>
    <row r="24" spans="1:20" x14ac:dyDescent="0.25">
      <c r="A24">
        <v>51300</v>
      </c>
      <c r="B24">
        <v>1023.435645</v>
      </c>
      <c r="C24">
        <v>205.661563</v>
      </c>
      <c r="D24">
        <v>0.184699</v>
      </c>
      <c r="E24">
        <v>181.40268</v>
      </c>
      <c r="F24">
        <v>2.3472</v>
      </c>
      <c r="G24">
        <v>0</v>
      </c>
      <c r="H24">
        <v>2.7554669999999999</v>
      </c>
      <c r="I24">
        <v>18.971516999999999</v>
      </c>
      <c r="J24">
        <v>293.45171099999999</v>
      </c>
      <c r="K24">
        <v>0</v>
      </c>
      <c r="L24">
        <v>0</v>
      </c>
      <c r="M24">
        <v>0</v>
      </c>
      <c r="N24">
        <v>0</v>
      </c>
      <c r="O24">
        <v>829.30195700000002</v>
      </c>
      <c r="P24">
        <v>336.84401200000002</v>
      </c>
      <c r="Q24">
        <v>125.594036</v>
      </c>
      <c r="R24">
        <v>25.112373000000002</v>
      </c>
      <c r="S24">
        <v>341.75153599999999</v>
      </c>
      <c r="T24">
        <v>0</v>
      </c>
    </row>
    <row r="25" spans="1:20" x14ac:dyDescent="0.25">
      <c r="A25">
        <v>51334</v>
      </c>
      <c r="B25">
        <v>933.18336199999999</v>
      </c>
      <c r="C25">
        <v>173.590022</v>
      </c>
      <c r="D25">
        <v>0.41187600000000002</v>
      </c>
      <c r="E25">
        <v>156.00396900000001</v>
      </c>
      <c r="F25">
        <v>5.8251780000000002</v>
      </c>
      <c r="G25">
        <v>0</v>
      </c>
      <c r="H25">
        <v>0.50037799999999999</v>
      </c>
      <c r="I25">
        <v>10.848621</v>
      </c>
      <c r="J25">
        <v>141.77646300000001</v>
      </c>
      <c r="K25">
        <v>1.18798</v>
      </c>
      <c r="L25">
        <v>0</v>
      </c>
      <c r="M25">
        <v>1.18798</v>
      </c>
      <c r="N25">
        <v>0</v>
      </c>
      <c r="O25">
        <v>773.99961399999995</v>
      </c>
      <c r="P25">
        <v>373.27873299999999</v>
      </c>
      <c r="Q25">
        <v>163.00913800000001</v>
      </c>
      <c r="R25">
        <v>37.881591</v>
      </c>
      <c r="S25">
        <v>185.80927600000001</v>
      </c>
      <c r="T25">
        <v>14.020875999999999</v>
      </c>
    </row>
    <row r="26" spans="1:20" x14ac:dyDescent="0.25">
      <c r="A26">
        <v>51359</v>
      </c>
      <c r="B26">
        <v>2063.732872</v>
      </c>
      <c r="C26">
        <v>478.46144900000002</v>
      </c>
      <c r="D26">
        <v>0.77249800000000002</v>
      </c>
      <c r="E26">
        <v>400.68126000000001</v>
      </c>
      <c r="F26">
        <v>19.985347000000001</v>
      </c>
      <c r="G26">
        <v>7.0441500000000001</v>
      </c>
      <c r="H26">
        <v>10.061995</v>
      </c>
      <c r="I26">
        <v>39.916198999999999</v>
      </c>
      <c r="J26">
        <v>463.09554000000003</v>
      </c>
      <c r="K26">
        <v>0.39544000000000001</v>
      </c>
      <c r="L26">
        <v>0</v>
      </c>
      <c r="M26">
        <v>0.39544000000000001</v>
      </c>
      <c r="N26">
        <v>0</v>
      </c>
      <c r="O26">
        <v>1900.1765829999999</v>
      </c>
      <c r="P26">
        <v>649.19404799999995</v>
      </c>
      <c r="Q26">
        <v>307.67098099999998</v>
      </c>
      <c r="R26">
        <v>149.913659</v>
      </c>
      <c r="S26">
        <v>625.63990200000001</v>
      </c>
      <c r="T26">
        <v>167.757993</v>
      </c>
    </row>
    <row r="27" spans="1:20" x14ac:dyDescent="0.25">
      <c r="A27">
        <v>51375</v>
      </c>
      <c r="B27">
        <v>440.27257700000001</v>
      </c>
      <c r="C27">
        <v>139.61665099999999</v>
      </c>
      <c r="D27">
        <v>1.027997</v>
      </c>
      <c r="E27">
        <v>110.337917</v>
      </c>
      <c r="F27">
        <v>3.0474190000000001</v>
      </c>
      <c r="G27">
        <v>0.28427400000000003</v>
      </c>
      <c r="H27">
        <v>14.24</v>
      </c>
      <c r="I27">
        <v>10.679043999999999</v>
      </c>
      <c r="J27">
        <v>435.972419</v>
      </c>
      <c r="K27">
        <v>0</v>
      </c>
      <c r="L27">
        <v>0</v>
      </c>
      <c r="M27">
        <v>0</v>
      </c>
      <c r="N27">
        <v>0</v>
      </c>
      <c r="O27">
        <v>333.64521400000001</v>
      </c>
      <c r="P27">
        <v>154.767729</v>
      </c>
      <c r="Q27">
        <v>30.077721</v>
      </c>
      <c r="R27">
        <v>6.5736410000000003</v>
      </c>
      <c r="S27">
        <v>142.226123</v>
      </c>
      <c r="T27">
        <v>0</v>
      </c>
    </row>
    <row r="28" spans="1:20" x14ac:dyDescent="0.25">
      <c r="A28">
        <v>51391</v>
      </c>
      <c r="B28">
        <v>658.60410400000001</v>
      </c>
      <c r="C28">
        <v>180.589271</v>
      </c>
      <c r="D28">
        <v>0</v>
      </c>
      <c r="E28">
        <v>153.390995</v>
      </c>
      <c r="F28">
        <v>10.184137</v>
      </c>
      <c r="G28">
        <v>0.5</v>
      </c>
      <c r="H28">
        <v>1.5</v>
      </c>
      <c r="I28">
        <v>15.014139</v>
      </c>
      <c r="J28">
        <v>210.27994799999999</v>
      </c>
      <c r="K28">
        <v>0</v>
      </c>
      <c r="L28">
        <v>0</v>
      </c>
      <c r="M28">
        <v>0</v>
      </c>
      <c r="N28">
        <v>0</v>
      </c>
      <c r="O28">
        <v>444.59918299999998</v>
      </c>
      <c r="P28">
        <v>160.12112300000001</v>
      </c>
      <c r="Q28">
        <v>145.324276</v>
      </c>
      <c r="R28">
        <v>0</v>
      </c>
      <c r="S28">
        <v>139.153784</v>
      </c>
      <c r="T28">
        <v>0</v>
      </c>
    </row>
    <row r="29" spans="1:20" x14ac:dyDescent="0.25">
      <c r="A29">
        <v>51417</v>
      </c>
      <c r="B29">
        <v>1261.2119520000001</v>
      </c>
      <c r="C29">
        <v>257.277714</v>
      </c>
      <c r="D29">
        <v>0.65176000000000001</v>
      </c>
      <c r="E29">
        <v>204.83949999999999</v>
      </c>
      <c r="F29">
        <v>12.2484</v>
      </c>
      <c r="G29">
        <v>0.37530000000000002</v>
      </c>
      <c r="H29">
        <v>13.78905</v>
      </c>
      <c r="I29">
        <v>25.373704</v>
      </c>
      <c r="J29">
        <v>335.27511800000002</v>
      </c>
      <c r="K29">
        <v>11.609062</v>
      </c>
      <c r="L29">
        <v>0</v>
      </c>
      <c r="M29">
        <v>7.6090619999999998</v>
      </c>
      <c r="N29">
        <v>4</v>
      </c>
      <c r="O29">
        <v>1074.006952</v>
      </c>
      <c r="P29">
        <v>402.52853800000003</v>
      </c>
      <c r="Q29">
        <v>196.124999</v>
      </c>
      <c r="R29">
        <v>9.0762090000000004</v>
      </c>
      <c r="S29">
        <v>397.61445200000003</v>
      </c>
      <c r="T29">
        <v>68.662754000000007</v>
      </c>
    </row>
    <row r="30" spans="1:20" x14ac:dyDescent="0.25">
      <c r="A30">
        <v>51433</v>
      </c>
      <c r="B30">
        <v>1023.404368</v>
      </c>
      <c r="C30">
        <v>182.25852</v>
      </c>
      <c r="D30">
        <v>1.115713</v>
      </c>
      <c r="E30">
        <v>141.566047</v>
      </c>
      <c r="F30">
        <v>5.7262930000000001</v>
      </c>
      <c r="G30">
        <v>0.27316499999999999</v>
      </c>
      <c r="H30">
        <v>10.999606</v>
      </c>
      <c r="I30">
        <v>22.577696</v>
      </c>
      <c r="J30">
        <v>547.15863400000001</v>
      </c>
      <c r="K30">
        <v>1.9942089999999999</v>
      </c>
      <c r="L30">
        <v>0</v>
      </c>
      <c r="M30">
        <v>1.9942089999999999</v>
      </c>
      <c r="N30">
        <v>0</v>
      </c>
      <c r="O30">
        <v>834.32669599999997</v>
      </c>
      <c r="P30">
        <v>385.20672500000001</v>
      </c>
      <c r="Q30">
        <v>150.919781</v>
      </c>
      <c r="R30">
        <v>61.024396000000003</v>
      </c>
      <c r="S30">
        <v>211.28550899999999</v>
      </c>
      <c r="T30">
        <v>25.890284999999999</v>
      </c>
    </row>
    <row r="31" spans="1:20" x14ac:dyDescent="0.25">
      <c r="A31">
        <v>51458</v>
      </c>
      <c r="B31">
        <v>682.03892499999995</v>
      </c>
      <c r="C31">
        <v>110.106872</v>
      </c>
      <c r="D31">
        <v>3.0210970000000001</v>
      </c>
      <c r="E31">
        <v>88.788208999999995</v>
      </c>
      <c r="F31">
        <v>4.0605779999999996</v>
      </c>
      <c r="G31">
        <v>0.183974</v>
      </c>
      <c r="H31">
        <v>1.5795889999999999</v>
      </c>
      <c r="I31">
        <v>12.473425000000001</v>
      </c>
      <c r="J31">
        <v>137.571461</v>
      </c>
      <c r="K31">
        <v>1</v>
      </c>
      <c r="L31">
        <v>0</v>
      </c>
      <c r="M31">
        <v>1</v>
      </c>
      <c r="N31">
        <v>0</v>
      </c>
      <c r="O31">
        <v>666.61367499999994</v>
      </c>
      <c r="P31">
        <v>345.022085</v>
      </c>
      <c r="Q31">
        <v>170.10430500000001</v>
      </c>
      <c r="R31">
        <v>51.673861000000002</v>
      </c>
      <c r="S31">
        <v>94.009336000000005</v>
      </c>
      <c r="T31">
        <v>5.8040880000000001</v>
      </c>
    </row>
    <row r="32" spans="1:20" x14ac:dyDescent="0.25">
      <c r="A32">
        <v>51474</v>
      </c>
      <c r="B32">
        <v>1135.4912449999999</v>
      </c>
      <c r="C32">
        <v>190.68684300000001</v>
      </c>
      <c r="D32">
        <v>1.1387860000000001</v>
      </c>
      <c r="E32">
        <v>150.915997</v>
      </c>
      <c r="F32">
        <v>7.9249210000000003</v>
      </c>
      <c r="G32">
        <v>2.7591070000000002</v>
      </c>
      <c r="H32">
        <v>2.3132619999999999</v>
      </c>
      <c r="I32">
        <v>25.63477</v>
      </c>
      <c r="J32">
        <v>88.311143000000001</v>
      </c>
      <c r="K32">
        <v>8.1113510000000009</v>
      </c>
      <c r="L32">
        <v>7.0707000000000006E-2</v>
      </c>
      <c r="M32">
        <v>7.0406440000000003</v>
      </c>
      <c r="N32">
        <v>1</v>
      </c>
      <c r="O32">
        <v>978.61421800000005</v>
      </c>
      <c r="P32">
        <v>516.75291100000004</v>
      </c>
      <c r="Q32">
        <v>141.81276600000001</v>
      </c>
      <c r="R32">
        <v>0</v>
      </c>
      <c r="S32">
        <v>269.43514900000002</v>
      </c>
      <c r="T32">
        <v>50.613391999999997</v>
      </c>
    </row>
    <row r="33" spans="1:20" x14ac:dyDescent="0.25">
      <c r="A33">
        <v>51490</v>
      </c>
      <c r="B33">
        <v>580.37089700000001</v>
      </c>
      <c r="C33">
        <v>144.94396399999999</v>
      </c>
      <c r="D33">
        <v>1.1812860000000001</v>
      </c>
      <c r="E33">
        <v>129.202743</v>
      </c>
      <c r="F33">
        <v>1.9588220000000001</v>
      </c>
      <c r="G33">
        <v>0.28000000000000003</v>
      </c>
      <c r="H33">
        <v>5.3358080000000001</v>
      </c>
      <c r="I33">
        <v>6.9853050000000003</v>
      </c>
      <c r="J33">
        <v>451.14297699999997</v>
      </c>
      <c r="K33">
        <v>0</v>
      </c>
      <c r="L33">
        <v>0</v>
      </c>
      <c r="M33">
        <v>0</v>
      </c>
      <c r="N33">
        <v>0</v>
      </c>
      <c r="O33">
        <v>192.26030700000001</v>
      </c>
      <c r="P33">
        <v>150.37763100000001</v>
      </c>
      <c r="Q33">
        <v>36.838672000000003</v>
      </c>
      <c r="R33">
        <v>0</v>
      </c>
      <c r="S33">
        <v>5.0440040000000002</v>
      </c>
      <c r="T33">
        <v>0</v>
      </c>
    </row>
    <row r="34" spans="1:20" x14ac:dyDescent="0.25">
      <c r="A34">
        <v>51532</v>
      </c>
      <c r="B34">
        <v>672.45648200000005</v>
      </c>
      <c r="C34">
        <v>132.731211</v>
      </c>
      <c r="D34">
        <v>0.45762700000000001</v>
      </c>
      <c r="E34">
        <v>117.343231</v>
      </c>
      <c r="F34">
        <v>1.3052619999999999</v>
      </c>
      <c r="G34">
        <v>1.0480229999999999</v>
      </c>
      <c r="H34">
        <v>7.7517779999999998</v>
      </c>
      <c r="I34">
        <v>4.8252899999999999</v>
      </c>
      <c r="J34">
        <v>168.98082199999999</v>
      </c>
      <c r="K34">
        <v>16.993281</v>
      </c>
      <c r="L34">
        <v>0</v>
      </c>
      <c r="M34">
        <v>16.993281</v>
      </c>
      <c r="N34">
        <v>0</v>
      </c>
      <c r="O34">
        <v>506.09267199999999</v>
      </c>
      <c r="P34">
        <v>198.71383</v>
      </c>
      <c r="Q34">
        <v>83.206177999999994</v>
      </c>
      <c r="R34">
        <v>10.412034999999999</v>
      </c>
      <c r="S34">
        <v>213.76062899999999</v>
      </c>
      <c r="T34">
        <v>0</v>
      </c>
    </row>
    <row r="35" spans="1:20" x14ac:dyDescent="0.25">
      <c r="A35">
        <v>51607</v>
      </c>
      <c r="B35">
        <v>512.29306599999995</v>
      </c>
      <c r="C35">
        <v>144.32742500000001</v>
      </c>
      <c r="D35">
        <v>0</v>
      </c>
      <c r="E35">
        <v>123.74888799999999</v>
      </c>
      <c r="F35">
        <v>4.8790880000000003</v>
      </c>
      <c r="G35">
        <v>0</v>
      </c>
      <c r="H35">
        <v>5.9171880000000003</v>
      </c>
      <c r="I35">
        <v>9.7822610000000001</v>
      </c>
      <c r="J35">
        <v>512.29306599999995</v>
      </c>
      <c r="K35">
        <v>0</v>
      </c>
      <c r="L35">
        <v>0</v>
      </c>
      <c r="M35">
        <v>0</v>
      </c>
      <c r="N35">
        <v>0</v>
      </c>
      <c r="O35">
        <v>453.98670700000002</v>
      </c>
      <c r="P35">
        <v>152.327853</v>
      </c>
      <c r="Q35">
        <v>97.365978999999996</v>
      </c>
      <c r="R35">
        <v>0</v>
      </c>
      <c r="S35">
        <v>204.10398599999999</v>
      </c>
      <c r="T35">
        <v>0.188889</v>
      </c>
    </row>
    <row r="36" spans="1:20" x14ac:dyDescent="0.25">
      <c r="A36">
        <v>51631</v>
      </c>
      <c r="B36">
        <v>869.76308600000004</v>
      </c>
      <c r="C36">
        <v>239.45646400000001</v>
      </c>
      <c r="D36">
        <v>0.137931</v>
      </c>
      <c r="E36">
        <v>183.982325</v>
      </c>
      <c r="F36">
        <v>19.491379999999999</v>
      </c>
      <c r="G36">
        <v>1</v>
      </c>
      <c r="H36">
        <v>11</v>
      </c>
      <c r="I36">
        <v>23.844828</v>
      </c>
      <c r="J36">
        <v>330.36203</v>
      </c>
      <c r="K36">
        <v>0.97701099999999996</v>
      </c>
      <c r="L36">
        <v>0.97701099999999996</v>
      </c>
      <c r="M36">
        <v>0</v>
      </c>
      <c r="N36">
        <v>0</v>
      </c>
      <c r="O36">
        <v>756.44398699999999</v>
      </c>
      <c r="P36">
        <v>245.14171200000001</v>
      </c>
      <c r="Q36">
        <v>129.861885</v>
      </c>
      <c r="R36">
        <v>0</v>
      </c>
      <c r="S36">
        <v>381.44038999999998</v>
      </c>
      <c r="T36">
        <v>0</v>
      </c>
    </row>
    <row r="37" spans="1:20" x14ac:dyDescent="0.25">
      <c r="A37">
        <v>51656</v>
      </c>
      <c r="B37">
        <v>922.37680499999999</v>
      </c>
      <c r="C37">
        <v>237.453689</v>
      </c>
      <c r="D37">
        <v>1</v>
      </c>
      <c r="E37">
        <v>205.252656</v>
      </c>
      <c r="F37">
        <v>5.2813350000000003</v>
      </c>
      <c r="G37">
        <v>0</v>
      </c>
      <c r="H37">
        <v>9.0526319999999991</v>
      </c>
      <c r="I37">
        <v>16.867066000000001</v>
      </c>
      <c r="J37">
        <v>205.27334400000001</v>
      </c>
      <c r="K37">
        <v>13.084795</v>
      </c>
      <c r="L37">
        <v>0</v>
      </c>
      <c r="M37">
        <v>12.084795</v>
      </c>
      <c r="N37">
        <v>1</v>
      </c>
      <c r="O37">
        <v>701.76348900000005</v>
      </c>
      <c r="P37">
        <v>292.42558200000002</v>
      </c>
      <c r="Q37">
        <v>126.609402</v>
      </c>
      <c r="R37">
        <v>12.471904</v>
      </c>
      <c r="S37">
        <v>260.19567999999998</v>
      </c>
      <c r="T37">
        <v>10.060921</v>
      </c>
    </row>
    <row r="38" spans="1:20" x14ac:dyDescent="0.25">
      <c r="A38">
        <v>51672</v>
      </c>
      <c r="B38">
        <v>532.369867</v>
      </c>
      <c r="C38">
        <v>100.915609</v>
      </c>
      <c r="D38">
        <v>1</v>
      </c>
      <c r="E38">
        <v>86.518404000000004</v>
      </c>
      <c r="F38">
        <v>2.9121290000000002</v>
      </c>
      <c r="G38">
        <v>0</v>
      </c>
      <c r="H38">
        <v>4.2101329999999999</v>
      </c>
      <c r="I38">
        <v>6.2749430000000004</v>
      </c>
      <c r="J38">
        <v>148.56776400000001</v>
      </c>
      <c r="K38">
        <v>0</v>
      </c>
      <c r="L38">
        <v>0</v>
      </c>
      <c r="M38">
        <v>0</v>
      </c>
      <c r="N38">
        <v>0</v>
      </c>
      <c r="O38">
        <v>473.91753499999999</v>
      </c>
      <c r="P38">
        <v>176.663836</v>
      </c>
      <c r="Q38">
        <v>59.830652999999998</v>
      </c>
      <c r="R38">
        <v>0</v>
      </c>
      <c r="S38">
        <v>227.43713600000001</v>
      </c>
      <c r="T38">
        <v>9.9859100000000005</v>
      </c>
    </row>
    <row r="39" spans="1:20" x14ac:dyDescent="0.25">
      <c r="A39">
        <v>51698</v>
      </c>
      <c r="B39">
        <v>477.99938300000002</v>
      </c>
      <c r="C39">
        <v>105.146877</v>
      </c>
      <c r="D39">
        <v>0</v>
      </c>
      <c r="E39">
        <v>96.668828000000005</v>
      </c>
      <c r="F39">
        <v>2.4904670000000002</v>
      </c>
      <c r="G39">
        <v>1.5</v>
      </c>
      <c r="H39">
        <v>1</v>
      </c>
      <c r="I39">
        <v>3.4875820000000002</v>
      </c>
      <c r="J39">
        <v>153.65652600000001</v>
      </c>
      <c r="K39">
        <v>0</v>
      </c>
      <c r="L39">
        <v>0</v>
      </c>
      <c r="M39">
        <v>0</v>
      </c>
      <c r="N39">
        <v>0</v>
      </c>
      <c r="O39">
        <v>370.26198599999998</v>
      </c>
      <c r="P39">
        <v>193.18866199999999</v>
      </c>
      <c r="Q39">
        <v>55.132053999999997</v>
      </c>
      <c r="R39">
        <v>0</v>
      </c>
      <c r="S39">
        <v>121.94127</v>
      </c>
      <c r="T39">
        <v>0</v>
      </c>
    </row>
    <row r="40" spans="1:20" x14ac:dyDescent="0.25">
      <c r="A40">
        <v>51714</v>
      </c>
      <c r="B40">
        <v>701.61206800000002</v>
      </c>
      <c r="C40">
        <v>169.45483100000001</v>
      </c>
      <c r="D40">
        <v>0</v>
      </c>
      <c r="E40">
        <v>140.14165600000001</v>
      </c>
      <c r="F40">
        <v>11.178027</v>
      </c>
      <c r="G40">
        <v>1</v>
      </c>
      <c r="H40">
        <v>2.2003870000000001</v>
      </c>
      <c r="I40">
        <v>14.934761</v>
      </c>
      <c r="J40">
        <v>235.918466</v>
      </c>
      <c r="K40">
        <v>5</v>
      </c>
      <c r="L40">
        <v>0</v>
      </c>
      <c r="M40">
        <v>5</v>
      </c>
      <c r="N40">
        <v>0</v>
      </c>
      <c r="O40">
        <v>524.11724300000003</v>
      </c>
      <c r="P40">
        <v>210.24188000000001</v>
      </c>
      <c r="Q40">
        <v>102.800935</v>
      </c>
      <c r="R40">
        <v>0</v>
      </c>
      <c r="S40">
        <v>211.07442800000001</v>
      </c>
      <c r="T40">
        <v>0</v>
      </c>
    </row>
    <row r="41" spans="1:20" x14ac:dyDescent="0.25">
      <c r="A41">
        <v>62026</v>
      </c>
      <c r="B41">
        <v>652.436419</v>
      </c>
      <c r="C41">
        <v>147.80639500000001</v>
      </c>
      <c r="D41">
        <v>0</v>
      </c>
      <c r="E41">
        <v>132.92110099999999</v>
      </c>
      <c r="F41">
        <v>7.1029410000000004</v>
      </c>
      <c r="G41">
        <v>0</v>
      </c>
      <c r="H41">
        <v>2.0294120000000002</v>
      </c>
      <c r="I41">
        <v>5.7529409999999999</v>
      </c>
      <c r="J41">
        <v>184.31310099999999</v>
      </c>
      <c r="K41">
        <v>0</v>
      </c>
      <c r="L41">
        <v>0</v>
      </c>
      <c r="M41">
        <v>0</v>
      </c>
      <c r="N41">
        <v>0</v>
      </c>
      <c r="O41">
        <v>423.50321200000002</v>
      </c>
      <c r="P41">
        <v>155.50419400000001</v>
      </c>
      <c r="Q41">
        <v>92.995335999999995</v>
      </c>
      <c r="R41">
        <v>9.1778940000000002</v>
      </c>
      <c r="S41">
        <v>165.82578799999999</v>
      </c>
      <c r="T41">
        <v>0</v>
      </c>
    </row>
    <row r="42" spans="1:20" x14ac:dyDescent="0.25">
      <c r="A42">
        <v>62042</v>
      </c>
      <c r="B42">
        <v>449.781431</v>
      </c>
      <c r="C42">
        <v>109.863083</v>
      </c>
      <c r="D42">
        <v>0</v>
      </c>
      <c r="E42">
        <v>103.155745</v>
      </c>
      <c r="F42">
        <v>1.2461359999999999</v>
      </c>
      <c r="G42">
        <v>1.4583330000000001</v>
      </c>
      <c r="H42">
        <v>4.0016999999999997E-2</v>
      </c>
      <c r="I42">
        <v>3.9628519999999998</v>
      </c>
      <c r="J42">
        <v>120.97344200000001</v>
      </c>
      <c r="K42">
        <v>0</v>
      </c>
      <c r="L42">
        <v>0</v>
      </c>
      <c r="M42">
        <v>0</v>
      </c>
      <c r="N42">
        <v>0</v>
      </c>
      <c r="O42">
        <v>353.02176700000001</v>
      </c>
      <c r="P42">
        <v>129.12373500000001</v>
      </c>
      <c r="Q42">
        <v>78.908826000000005</v>
      </c>
      <c r="R42">
        <v>6.1383960000000002</v>
      </c>
      <c r="S42">
        <v>138.85081</v>
      </c>
      <c r="T42">
        <v>0</v>
      </c>
    </row>
    <row r="43" spans="1:20" x14ac:dyDescent="0.25">
      <c r="A43">
        <v>62067</v>
      </c>
      <c r="B43">
        <v>587.02254100000005</v>
      </c>
      <c r="C43">
        <v>132.677156</v>
      </c>
      <c r="D43">
        <v>0.50846400000000003</v>
      </c>
      <c r="E43">
        <v>90.857433</v>
      </c>
      <c r="F43">
        <v>5.4311299999999996</v>
      </c>
      <c r="G43">
        <v>0.19772300000000001</v>
      </c>
      <c r="H43">
        <v>17.987006999999998</v>
      </c>
      <c r="I43">
        <v>17.695398999999998</v>
      </c>
      <c r="J43">
        <v>566.316372</v>
      </c>
      <c r="K43">
        <v>0</v>
      </c>
      <c r="L43">
        <v>0</v>
      </c>
      <c r="M43">
        <v>0</v>
      </c>
      <c r="N43">
        <v>0</v>
      </c>
      <c r="O43">
        <v>384.07053200000001</v>
      </c>
      <c r="P43">
        <v>222.38459599999999</v>
      </c>
      <c r="Q43">
        <v>93.709441999999996</v>
      </c>
      <c r="R43">
        <v>4.2310129999999999</v>
      </c>
      <c r="S43">
        <v>63.745480999999998</v>
      </c>
      <c r="T43">
        <v>0</v>
      </c>
    </row>
    <row r="44" spans="1:20" x14ac:dyDescent="0.25">
      <c r="A44">
        <v>62109</v>
      </c>
      <c r="B44">
        <v>1095.0644070000001</v>
      </c>
      <c r="C44">
        <v>136.56759600000001</v>
      </c>
      <c r="D44">
        <v>0.472997</v>
      </c>
      <c r="E44">
        <v>123.123379</v>
      </c>
      <c r="F44">
        <v>2.3998330000000001</v>
      </c>
      <c r="G44">
        <v>0.49906899999999998</v>
      </c>
      <c r="H44">
        <v>1.9527129999999999</v>
      </c>
      <c r="I44">
        <v>8.119605</v>
      </c>
      <c r="J44">
        <v>35.471719</v>
      </c>
      <c r="K44">
        <v>0</v>
      </c>
      <c r="L44">
        <v>0</v>
      </c>
      <c r="M44">
        <v>0</v>
      </c>
      <c r="N44">
        <v>0</v>
      </c>
      <c r="O44">
        <v>631.46667200000002</v>
      </c>
      <c r="P44">
        <v>179.67417399999999</v>
      </c>
      <c r="Q44">
        <v>147.194986</v>
      </c>
      <c r="R44">
        <v>7.2360220000000002</v>
      </c>
      <c r="S44">
        <v>297.36149</v>
      </c>
      <c r="T44">
        <v>0</v>
      </c>
    </row>
    <row r="45" spans="1:20" x14ac:dyDescent="0.25">
      <c r="A45">
        <v>62125</v>
      </c>
      <c r="B45">
        <v>1348.903215</v>
      </c>
      <c r="C45">
        <v>248.65368599999999</v>
      </c>
      <c r="D45">
        <v>0.187836</v>
      </c>
      <c r="E45">
        <v>207.88407799999999</v>
      </c>
      <c r="F45">
        <v>5.4401669999999998</v>
      </c>
      <c r="G45">
        <v>0.32335999999999998</v>
      </c>
      <c r="H45">
        <v>13.500043</v>
      </c>
      <c r="I45">
        <v>21.318201999999999</v>
      </c>
      <c r="J45">
        <v>313.23038700000001</v>
      </c>
      <c r="K45">
        <v>0.14451800000000001</v>
      </c>
      <c r="L45">
        <v>0.14451800000000001</v>
      </c>
      <c r="M45">
        <v>0</v>
      </c>
      <c r="N45">
        <v>0</v>
      </c>
      <c r="O45">
        <v>1143.0222389999999</v>
      </c>
      <c r="P45">
        <v>494.29717900000003</v>
      </c>
      <c r="Q45">
        <v>129.32961399999999</v>
      </c>
      <c r="R45">
        <v>32.563172999999999</v>
      </c>
      <c r="S45">
        <v>349.32177000000001</v>
      </c>
      <c r="T45">
        <v>137.510503</v>
      </c>
    </row>
    <row r="46" spans="1:20" x14ac:dyDescent="0.25">
      <c r="A46">
        <v>62802</v>
      </c>
      <c r="B46">
        <v>412.41875099999999</v>
      </c>
      <c r="C46">
        <v>92.866815000000003</v>
      </c>
      <c r="D46">
        <v>1.4365520000000001</v>
      </c>
      <c r="E46">
        <v>80.180552000000006</v>
      </c>
      <c r="F46">
        <v>4.2608769999999998</v>
      </c>
      <c r="G46">
        <v>1.027692</v>
      </c>
      <c r="H46">
        <v>0.65</v>
      </c>
      <c r="I46">
        <v>5.3111420000000003</v>
      </c>
      <c r="J46">
        <v>111.378505</v>
      </c>
      <c r="K46">
        <v>0</v>
      </c>
      <c r="L46">
        <v>0</v>
      </c>
      <c r="M46">
        <v>0</v>
      </c>
      <c r="N46">
        <v>0</v>
      </c>
      <c r="O46">
        <v>303.12949200000003</v>
      </c>
      <c r="P46">
        <v>126.30934600000001</v>
      </c>
      <c r="Q46">
        <v>50.430757</v>
      </c>
      <c r="R46">
        <v>0</v>
      </c>
      <c r="S46">
        <v>126.38938899999999</v>
      </c>
      <c r="T46">
        <v>0</v>
      </c>
    </row>
    <row r="47" spans="1:20" x14ac:dyDescent="0.25">
      <c r="A47">
        <v>63495</v>
      </c>
      <c r="B47">
        <v>362.99928399999999</v>
      </c>
      <c r="C47">
        <v>63.475512000000002</v>
      </c>
      <c r="D47">
        <v>0</v>
      </c>
      <c r="E47">
        <v>56.275511999999999</v>
      </c>
      <c r="F47">
        <v>1.4</v>
      </c>
      <c r="G47">
        <v>0</v>
      </c>
      <c r="H47">
        <v>1</v>
      </c>
      <c r="I47">
        <v>4.8</v>
      </c>
      <c r="J47">
        <v>100.512653</v>
      </c>
      <c r="K47">
        <v>0</v>
      </c>
      <c r="L47">
        <v>0</v>
      </c>
      <c r="M47">
        <v>0</v>
      </c>
      <c r="N47">
        <v>0</v>
      </c>
      <c r="O47">
        <v>275.32193899999999</v>
      </c>
      <c r="P47">
        <v>155.090521</v>
      </c>
      <c r="Q47">
        <v>120.23141800000001</v>
      </c>
      <c r="R47">
        <v>0</v>
      </c>
      <c r="S47">
        <v>0</v>
      </c>
      <c r="T47">
        <v>0</v>
      </c>
    </row>
    <row r="48" spans="1:20" x14ac:dyDescent="0.25">
      <c r="A48">
        <v>63511</v>
      </c>
      <c r="B48">
        <v>831.34306600000002</v>
      </c>
      <c r="C48">
        <v>198.575187</v>
      </c>
      <c r="D48">
        <v>1.0769690000000001</v>
      </c>
      <c r="E48">
        <v>157.17545100000001</v>
      </c>
      <c r="F48">
        <v>9.2020370000000007</v>
      </c>
      <c r="G48">
        <v>0</v>
      </c>
      <c r="H48">
        <v>1.583742</v>
      </c>
      <c r="I48">
        <v>29.536988000000001</v>
      </c>
      <c r="J48">
        <v>97.502230999999995</v>
      </c>
      <c r="K48">
        <v>20.26934</v>
      </c>
      <c r="L48">
        <v>0</v>
      </c>
      <c r="M48">
        <v>20.26934</v>
      </c>
      <c r="N48">
        <v>0</v>
      </c>
      <c r="O48">
        <v>660.31320000000005</v>
      </c>
      <c r="P48">
        <v>255.521694</v>
      </c>
      <c r="Q48">
        <v>154.50099800000001</v>
      </c>
      <c r="R48">
        <v>7.7181540000000002</v>
      </c>
      <c r="S48">
        <v>242.57235399999999</v>
      </c>
      <c r="T48">
        <v>0</v>
      </c>
    </row>
    <row r="49" spans="1:20" x14ac:dyDescent="0.25">
      <c r="A49">
        <v>65227</v>
      </c>
      <c r="B49">
        <v>228.343109</v>
      </c>
      <c r="C49">
        <v>65.160075000000006</v>
      </c>
      <c r="D49">
        <v>0</v>
      </c>
      <c r="E49">
        <v>50.876520999999997</v>
      </c>
      <c r="F49">
        <v>1.048783</v>
      </c>
      <c r="G49">
        <v>0.5</v>
      </c>
      <c r="H49">
        <v>4.7347710000000003</v>
      </c>
      <c r="I49">
        <v>8</v>
      </c>
      <c r="J49">
        <v>96.687460000000002</v>
      </c>
      <c r="K49">
        <v>0.5</v>
      </c>
      <c r="L49">
        <v>0.5</v>
      </c>
      <c r="M49">
        <v>0</v>
      </c>
      <c r="N49">
        <v>0</v>
      </c>
      <c r="O49">
        <v>169.65732700000001</v>
      </c>
      <c r="P49">
        <v>68.289709000000002</v>
      </c>
      <c r="Q49">
        <v>40.341042999999999</v>
      </c>
      <c r="R49">
        <v>0</v>
      </c>
      <c r="S49">
        <v>61.026575000000001</v>
      </c>
      <c r="T49">
        <v>0</v>
      </c>
    </row>
    <row r="50" spans="1:20" x14ac:dyDescent="0.25">
      <c r="A50">
        <v>65268</v>
      </c>
      <c r="B50">
        <v>533.07030199999997</v>
      </c>
      <c r="C50">
        <v>131.66364899999999</v>
      </c>
      <c r="D50">
        <v>0</v>
      </c>
      <c r="E50">
        <v>108.986054</v>
      </c>
      <c r="F50">
        <v>5</v>
      </c>
      <c r="G50">
        <v>0</v>
      </c>
      <c r="H50">
        <v>5.7427359999999998</v>
      </c>
      <c r="I50">
        <v>11.934858999999999</v>
      </c>
      <c r="J50">
        <v>132.12012799999999</v>
      </c>
      <c r="K50">
        <v>0</v>
      </c>
      <c r="L50">
        <v>0</v>
      </c>
      <c r="M50">
        <v>0</v>
      </c>
      <c r="N50">
        <v>0</v>
      </c>
      <c r="O50">
        <v>413.66404999999997</v>
      </c>
      <c r="P50">
        <v>163.026036</v>
      </c>
      <c r="Q50">
        <v>81.575525999999996</v>
      </c>
      <c r="R50">
        <v>0</v>
      </c>
      <c r="S50">
        <v>169.062488</v>
      </c>
      <c r="T50">
        <v>0</v>
      </c>
    </row>
    <row r="51" spans="1:20" x14ac:dyDescent="0.25">
      <c r="B51" s="6">
        <f>SUM(B2:B50)</f>
        <v>44415.318858999999</v>
      </c>
      <c r="C51" s="6">
        <f t="shared" ref="C51:T51" si="0">SUM(C2:C50)</f>
        <v>8917.1056370000024</v>
      </c>
      <c r="D51" s="6">
        <f t="shared" si="0"/>
        <v>39.010443999999993</v>
      </c>
      <c r="E51" s="6">
        <f t="shared" si="0"/>
        <v>7412.5944529999988</v>
      </c>
      <c r="F51" s="6">
        <f t="shared" si="0"/>
        <v>379.76090899999997</v>
      </c>
      <c r="G51" s="6">
        <f t="shared" si="0"/>
        <v>38.227584000000007</v>
      </c>
      <c r="H51" s="6">
        <f t="shared" si="0"/>
        <v>262.78860600000007</v>
      </c>
      <c r="I51" s="6">
        <f t="shared" si="0"/>
        <v>784.7236409999997</v>
      </c>
      <c r="J51" s="6">
        <f t="shared" si="0"/>
        <v>12734.789334999998</v>
      </c>
      <c r="K51" s="6">
        <f t="shared" si="0"/>
        <v>328.70582200000007</v>
      </c>
      <c r="L51" s="6">
        <f t="shared" si="0"/>
        <v>11.034249999999998</v>
      </c>
      <c r="M51" s="6">
        <f t="shared" si="0"/>
        <v>286.00857900000005</v>
      </c>
      <c r="N51" s="6">
        <f t="shared" si="0"/>
        <v>31.662992999999997</v>
      </c>
      <c r="O51" s="6">
        <f t="shared" si="0"/>
        <v>36403.901065999999</v>
      </c>
      <c r="P51" s="6">
        <f t="shared" si="0"/>
        <v>15229.267557999994</v>
      </c>
      <c r="Q51" s="6">
        <f t="shared" si="0"/>
        <v>7056.4580640000022</v>
      </c>
      <c r="R51" s="6">
        <f t="shared" si="0"/>
        <v>1016.6509879999999</v>
      </c>
      <c r="S51" s="6">
        <f t="shared" si="0"/>
        <v>12244.129627999999</v>
      </c>
      <c r="T51" s="6">
        <f t="shared" si="0"/>
        <v>857.39482799999973</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B9AB0-18A4-43B9-B31A-E0AE34253088}">
  <dimension ref="A1:F59"/>
  <sheetViews>
    <sheetView workbookViewId="0">
      <pane xSplit="2" ySplit="8" topLeftCell="C9" activePane="bottomRight" state="frozen"/>
      <selection pane="topRight" activeCell="C1" sqref="C1"/>
      <selection pane="bottomLeft" activeCell="A9" sqref="A9"/>
      <selection pane="bottomRight" activeCell="M12" sqref="M12"/>
    </sheetView>
  </sheetViews>
  <sheetFormatPr defaultRowHeight="15" x14ac:dyDescent="0.25"/>
  <cols>
    <col min="1" max="1" width="7" bestFit="1" customWidth="1"/>
    <col min="2" max="2" width="31.42578125" bestFit="1" customWidth="1"/>
    <col min="3" max="3" width="15.85546875" style="23" bestFit="1" customWidth="1"/>
    <col min="4" max="5" width="14.85546875" style="23" bestFit="1" customWidth="1"/>
    <col min="6" max="6" width="15.85546875" style="23" bestFit="1" customWidth="1"/>
  </cols>
  <sheetData>
    <row r="1" spans="1:6" x14ac:dyDescent="0.25">
      <c r="A1" s="351" t="s">
        <v>710</v>
      </c>
      <c r="B1" s="351"/>
    </row>
    <row r="5" spans="1:6" x14ac:dyDescent="0.25">
      <c r="C5" s="55" t="s">
        <v>711</v>
      </c>
      <c r="D5" s="55" t="s">
        <v>712</v>
      </c>
      <c r="E5" s="55" t="s">
        <v>713</v>
      </c>
      <c r="F5" s="55"/>
    </row>
    <row r="6" spans="1:6" x14ac:dyDescent="0.25">
      <c r="C6" s="55" t="s">
        <v>714</v>
      </c>
      <c r="D6" s="55" t="s">
        <v>715</v>
      </c>
      <c r="E6" s="55" t="s">
        <v>716</v>
      </c>
      <c r="F6" s="55" t="s">
        <v>717</v>
      </c>
    </row>
    <row r="7" spans="1:6" x14ac:dyDescent="0.25">
      <c r="C7" s="55" t="s">
        <v>718</v>
      </c>
      <c r="D7" s="55" t="s">
        <v>718</v>
      </c>
      <c r="E7" s="55" t="s">
        <v>719</v>
      </c>
      <c r="F7" s="55" t="s">
        <v>720</v>
      </c>
    </row>
    <row r="8" spans="1:6" x14ac:dyDescent="0.25">
      <c r="A8" s="56" t="s">
        <v>721</v>
      </c>
      <c r="B8" s="27" t="s">
        <v>722</v>
      </c>
      <c r="C8" s="55" t="s">
        <v>34</v>
      </c>
      <c r="D8" s="55" t="s">
        <v>34</v>
      </c>
      <c r="E8" s="55" t="s">
        <v>723</v>
      </c>
      <c r="F8" s="55" t="s">
        <v>723</v>
      </c>
    </row>
    <row r="9" spans="1:6" x14ac:dyDescent="0.25">
      <c r="A9">
        <v>50773</v>
      </c>
      <c r="B9" t="s">
        <v>724</v>
      </c>
      <c r="C9" s="23">
        <v>1885763430</v>
      </c>
      <c r="D9" s="23">
        <v>407292080</v>
      </c>
      <c r="E9" s="23">
        <v>222989690</v>
      </c>
      <c r="F9" s="23">
        <v>2516045200</v>
      </c>
    </row>
    <row r="10" spans="1:6" x14ac:dyDescent="0.25">
      <c r="A10">
        <v>50799</v>
      </c>
      <c r="B10" t="s">
        <v>725</v>
      </c>
      <c r="C10" s="23">
        <v>842935270</v>
      </c>
      <c r="D10" s="23">
        <v>76075710</v>
      </c>
      <c r="E10" s="23">
        <v>63862730</v>
      </c>
      <c r="F10" s="23">
        <v>982873710</v>
      </c>
    </row>
    <row r="11" spans="1:6" x14ac:dyDescent="0.25">
      <c r="A11">
        <v>50815</v>
      </c>
      <c r="B11" t="s">
        <v>726</v>
      </c>
      <c r="C11" s="23">
        <v>1535348190</v>
      </c>
      <c r="D11" s="23">
        <v>334228670</v>
      </c>
      <c r="E11" s="23">
        <v>151429300</v>
      </c>
      <c r="F11" s="23">
        <v>2021006160</v>
      </c>
    </row>
    <row r="12" spans="1:6" x14ac:dyDescent="0.25">
      <c r="A12">
        <v>50856</v>
      </c>
      <c r="B12" t="s">
        <v>727</v>
      </c>
      <c r="C12" s="23">
        <v>1190017810</v>
      </c>
      <c r="D12" s="23">
        <v>764087850</v>
      </c>
      <c r="E12" s="23">
        <v>871044280</v>
      </c>
      <c r="F12" s="23">
        <v>2825149940</v>
      </c>
    </row>
    <row r="13" spans="1:6" x14ac:dyDescent="0.25">
      <c r="A13">
        <v>50880</v>
      </c>
      <c r="B13" t="s">
        <v>728</v>
      </c>
      <c r="C13" s="23">
        <v>8426285000</v>
      </c>
      <c r="D13" s="23">
        <v>2284536810</v>
      </c>
      <c r="E13" s="23">
        <v>699572350</v>
      </c>
      <c r="F13" s="23">
        <v>11410394160</v>
      </c>
    </row>
    <row r="14" spans="1:6" x14ac:dyDescent="0.25">
      <c r="A14">
        <v>50906</v>
      </c>
      <c r="B14" t="s">
        <v>729</v>
      </c>
      <c r="C14" s="23">
        <v>1027174880</v>
      </c>
      <c r="D14" s="23">
        <v>182670680</v>
      </c>
      <c r="E14" s="23">
        <v>346380340</v>
      </c>
      <c r="F14" s="23">
        <v>1556225900</v>
      </c>
    </row>
    <row r="15" spans="1:6" x14ac:dyDescent="0.25">
      <c r="A15">
        <v>50922</v>
      </c>
      <c r="B15" t="s">
        <v>730</v>
      </c>
      <c r="C15" s="23">
        <v>5122737450</v>
      </c>
      <c r="D15" s="23">
        <v>1469825940</v>
      </c>
      <c r="E15" s="23">
        <v>288480710</v>
      </c>
      <c r="F15" s="23">
        <v>6881044100</v>
      </c>
    </row>
    <row r="16" spans="1:6" x14ac:dyDescent="0.25">
      <c r="A16">
        <v>50948</v>
      </c>
      <c r="B16" t="s">
        <v>731</v>
      </c>
      <c r="C16" s="23">
        <v>3726710840</v>
      </c>
      <c r="D16" s="23">
        <v>1380786180</v>
      </c>
      <c r="E16" s="23">
        <v>196549990</v>
      </c>
      <c r="F16" s="23">
        <v>5304047010</v>
      </c>
    </row>
    <row r="17" spans="1:6" x14ac:dyDescent="0.25">
      <c r="A17">
        <v>50963</v>
      </c>
      <c r="B17" t="s">
        <v>732</v>
      </c>
      <c r="C17" s="23">
        <v>2741724300</v>
      </c>
      <c r="D17" s="23">
        <v>463970860</v>
      </c>
      <c r="E17" s="23">
        <v>797949520</v>
      </c>
      <c r="F17" s="23">
        <v>4003644680</v>
      </c>
    </row>
    <row r="18" spans="1:6" x14ac:dyDescent="0.25">
      <c r="A18">
        <v>50989</v>
      </c>
      <c r="B18" t="s">
        <v>733</v>
      </c>
      <c r="C18" s="23">
        <v>6412851230</v>
      </c>
      <c r="D18" s="23">
        <v>823063800</v>
      </c>
      <c r="E18" s="23">
        <v>432212360</v>
      </c>
      <c r="F18" s="23">
        <v>7668127390</v>
      </c>
    </row>
    <row r="19" spans="1:6" x14ac:dyDescent="0.25">
      <c r="A19">
        <v>51003</v>
      </c>
      <c r="B19" t="s">
        <v>734</v>
      </c>
      <c r="C19" s="23">
        <v>7705181200</v>
      </c>
      <c r="D19" s="23">
        <v>1764288820</v>
      </c>
      <c r="E19" s="23">
        <v>819391000</v>
      </c>
      <c r="F19" s="23">
        <v>10288861020</v>
      </c>
    </row>
    <row r="20" spans="1:6" x14ac:dyDescent="0.25">
      <c r="A20">
        <v>51029</v>
      </c>
      <c r="B20" t="s">
        <v>735</v>
      </c>
      <c r="C20" s="23">
        <v>2778359700</v>
      </c>
      <c r="D20" s="23">
        <v>587850730</v>
      </c>
      <c r="E20" s="23">
        <v>529271750</v>
      </c>
      <c r="F20" s="23">
        <v>3895482180</v>
      </c>
    </row>
    <row r="21" spans="1:6" x14ac:dyDescent="0.25">
      <c r="A21">
        <v>51045</v>
      </c>
      <c r="B21" t="s">
        <v>736</v>
      </c>
      <c r="C21" s="23">
        <v>3761792690</v>
      </c>
      <c r="D21" s="23">
        <v>845767240</v>
      </c>
      <c r="E21" s="23">
        <v>151978410</v>
      </c>
      <c r="F21" s="23">
        <v>4759538340</v>
      </c>
    </row>
    <row r="22" spans="1:6" x14ac:dyDescent="0.25">
      <c r="A22">
        <v>51060</v>
      </c>
      <c r="B22" t="s">
        <v>737</v>
      </c>
      <c r="C22" s="23">
        <v>17149733950</v>
      </c>
      <c r="D22" s="23">
        <v>4333801380</v>
      </c>
      <c r="E22" s="23">
        <v>1146541250</v>
      </c>
      <c r="F22" s="23">
        <v>22630076580</v>
      </c>
    </row>
    <row r="23" spans="1:6" x14ac:dyDescent="0.25">
      <c r="A23">
        <v>51128</v>
      </c>
      <c r="B23" t="s">
        <v>738</v>
      </c>
      <c r="C23" s="23">
        <v>822545820</v>
      </c>
      <c r="D23" s="23">
        <v>422747680</v>
      </c>
      <c r="E23" s="23">
        <v>568281020</v>
      </c>
      <c r="F23" s="23">
        <v>1813574520</v>
      </c>
    </row>
    <row r="24" spans="1:6" x14ac:dyDescent="0.25">
      <c r="A24">
        <v>51144</v>
      </c>
      <c r="B24" t="s">
        <v>132</v>
      </c>
      <c r="C24" s="23">
        <v>1514632780</v>
      </c>
      <c r="D24" s="23">
        <v>158137939</v>
      </c>
      <c r="E24" s="23">
        <v>161878300</v>
      </c>
      <c r="F24" s="23">
        <v>1834649019</v>
      </c>
    </row>
    <row r="25" spans="1:6" x14ac:dyDescent="0.25">
      <c r="A25">
        <v>51169</v>
      </c>
      <c r="B25" t="s">
        <v>739</v>
      </c>
      <c r="C25" s="23">
        <v>4018901970</v>
      </c>
      <c r="D25" s="23">
        <v>631571790</v>
      </c>
      <c r="E25" s="23">
        <v>245237710</v>
      </c>
      <c r="F25" s="23">
        <v>4895711470</v>
      </c>
    </row>
    <row r="26" spans="1:6" x14ac:dyDescent="0.25">
      <c r="A26">
        <v>51185</v>
      </c>
      <c r="B26" t="s">
        <v>740</v>
      </c>
      <c r="C26" s="23">
        <v>839617490</v>
      </c>
      <c r="D26" s="23">
        <v>154385520</v>
      </c>
      <c r="E26" s="23">
        <v>424218110</v>
      </c>
      <c r="F26" s="23">
        <v>1418221120</v>
      </c>
    </row>
    <row r="27" spans="1:6" x14ac:dyDescent="0.25">
      <c r="A27">
        <v>51201</v>
      </c>
      <c r="B27" t="s">
        <v>741</v>
      </c>
      <c r="C27" s="23">
        <v>4319855420</v>
      </c>
      <c r="D27" s="23">
        <v>868350869</v>
      </c>
      <c r="E27" s="23">
        <v>378232310</v>
      </c>
      <c r="F27" s="23">
        <v>5566438599</v>
      </c>
    </row>
    <row r="28" spans="1:6" x14ac:dyDescent="0.25">
      <c r="A28">
        <v>51227</v>
      </c>
      <c r="B28" t="s">
        <v>742</v>
      </c>
      <c r="C28" s="23">
        <v>5396073710</v>
      </c>
      <c r="D28" s="23">
        <v>1150349630</v>
      </c>
      <c r="E28" s="23">
        <v>475772500</v>
      </c>
      <c r="F28" s="23">
        <v>7022195840</v>
      </c>
    </row>
    <row r="29" spans="1:6" x14ac:dyDescent="0.25">
      <c r="A29">
        <v>51243</v>
      </c>
      <c r="B29" t="s">
        <v>743</v>
      </c>
      <c r="C29" s="23">
        <v>3169114180</v>
      </c>
      <c r="D29" s="23">
        <v>785747480</v>
      </c>
      <c r="E29" s="23">
        <v>257147800</v>
      </c>
      <c r="F29" s="23">
        <v>4212009460</v>
      </c>
    </row>
    <row r="30" spans="1:6" x14ac:dyDescent="0.25">
      <c r="A30">
        <v>51284</v>
      </c>
      <c r="B30" t="s">
        <v>744</v>
      </c>
      <c r="C30" s="23">
        <v>6194424660</v>
      </c>
      <c r="D30" s="23">
        <v>1319620380</v>
      </c>
      <c r="E30" s="23">
        <v>318628310</v>
      </c>
      <c r="F30" s="23">
        <v>7832673350</v>
      </c>
    </row>
    <row r="31" spans="1:6" x14ac:dyDescent="0.25">
      <c r="A31">
        <v>51300</v>
      </c>
      <c r="B31" t="s">
        <v>745</v>
      </c>
      <c r="C31" s="23">
        <v>2631427910</v>
      </c>
      <c r="D31" s="23">
        <v>776075543</v>
      </c>
      <c r="E31" s="23">
        <v>1366666810</v>
      </c>
      <c r="F31" s="23">
        <v>4774170263</v>
      </c>
    </row>
    <row r="32" spans="1:6" x14ac:dyDescent="0.25">
      <c r="A32">
        <v>51334</v>
      </c>
      <c r="B32" t="s">
        <v>746</v>
      </c>
      <c r="C32" s="23">
        <v>2957981390</v>
      </c>
      <c r="D32" s="23">
        <v>537762560</v>
      </c>
      <c r="E32" s="23">
        <v>244632940</v>
      </c>
      <c r="F32" s="23">
        <v>3740376890</v>
      </c>
    </row>
    <row r="33" spans="1:6" x14ac:dyDescent="0.25">
      <c r="A33">
        <v>51359</v>
      </c>
      <c r="B33" t="s">
        <v>747</v>
      </c>
      <c r="C33" s="23">
        <v>5022347420</v>
      </c>
      <c r="D33" s="23">
        <v>1375022620</v>
      </c>
      <c r="E33" s="23">
        <v>872126860</v>
      </c>
      <c r="F33" s="23">
        <v>7269496900</v>
      </c>
    </row>
    <row r="34" spans="1:6" x14ac:dyDescent="0.25">
      <c r="A34">
        <v>51375</v>
      </c>
      <c r="B34" t="s">
        <v>748</v>
      </c>
      <c r="C34" s="23">
        <v>412367680</v>
      </c>
      <c r="D34" s="23">
        <v>42955760</v>
      </c>
      <c r="E34" s="23">
        <v>113124620</v>
      </c>
      <c r="F34" s="23">
        <v>568448060</v>
      </c>
    </row>
    <row r="35" spans="1:6" x14ac:dyDescent="0.25">
      <c r="A35">
        <v>51391</v>
      </c>
      <c r="B35" t="s">
        <v>749</v>
      </c>
      <c r="C35" s="23">
        <v>2027259150</v>
      </c>
      <c r="D35" s="23">
        <v>493136140</v>
      </c>
      <c r="E35" s="23">
        <v>140844490</v>
      </c>
      <c r="F35" s="23">
        <v>2661239780</v>
      </c>
    </row>
    <row r="36" spans="1:6" x14ac:dyDescent="0.25">
      <c r="A36">
        <v>51417</v>
      </c>
      <c r="B36" t="s">
        <v>750</v>
      </c>
      <c r="C36" s="23">
        <v>2061827070</v>
      </c>
      <c r="D36" s="23">
        <v>310478590</v>
      </c>
      <c r="E36" s="23">
        <v>745337370</v>
      </c>
      <c r="F36" s="23">
        <v>3117643030</v>
      </c>
    </row>
    <row r="37" spans="1:6" x14ac:dyDescent="0.25">
      <c r="A37">
        <v>51433</v>
      </c>
      <c r="B37" t="s">
        <v>158</v>
      </c>
      <c r="C37" s="23">
        <v>1883582070</v>
      </c>
      <c r="D37" s="23">
        <v>312751500</v>
      </c>
      <c r="E37" s="23">
        <v>362356730</v>
      </c>
      <c r="F37" s="23">
        <v>2558690300</v>
      </c>
    </row>
    <row r="38" spans="1:6" x14ac:dyDescent="0.25">
      <c r="A38">
        <v>51458</v>
      </c>
      <c r="B38" t="s">
        <v>751</v>
      </c>
      <c r="C38" s="23">
        <v>2611483230</v>
      </c>
      <c r="D38" s="23">
        <v>492457500</v>
      </c>
      <c r="E38" s="23">
        <v>629685530</v>
      </c>
      <c r="F38" s="23">
        <v>3733626260</v>
      </c>
    </row>
    <row r="39" spans="1:6" x14ac:dyDescent="0.25">
      <c r="A39">
        <v>51474</v>
      </c>
      <c r="B39" t="s">
        <v>752</v>
      </c>
      <c r="C39" s="23">
        <v>4338795590</v>
      </c>
      <c r="D39" s="23">
        <v>697815180</v>
      </c>
      <c r="E39" s="23">
        <v>325490340</v>
      </c>
      <c r="F39" s="23">
        <v>5362101110</v>
      </c>
    </row>
    <row r="40" spans="1:6" x14ac:dyDescent="0.25">
      <c r="A40">
        <v>51490</v>
      </c>
      <c r="B40" t="s">
        <v>753</v>
      </c>
      <c r="C40" s="23">
        <v>841250920</v>
      </c>
      <c r="D40" s="23">
        <v>179051030</v>
      </c>
      <c r="E40" s="23">
        <v>172535080</v>
      </c>
      <c r="F40" s="23">
        <v>1192837030</v>
      </c>
    </row>
    <row r="41" spans="1:6" x14ac:dyDescent="0.25">
      <c r="A41">
        <v>51532</v>
      </c>
      <c r="B41" t="s">
        <v>754</v>
      </c>
      <c r="C41" s="23">
        <v>1970493750</v>
      </c>
      <c r="D41" s="23">
        <v>466980320</v>
      </c>
      <c r="E41" s="23">
        <v>179342880</v>
      </c>
      <c r="F41" s="23">
        <v>2616816950</v>
      </c>
    </row>
    <row r="42" spans="1:6" x14ac:dyDescent="0.25">
      <c r="A42">
        <v>51607</v>
      </c>
      <c r="B42" t="s">
        <v>755</v>
      </c>
      <c r="C42" s="23">
        <v>1565162700</v>
      </c>
      <c r="D42" s="23">
        <v>344249010</v>
      </c>
      <c r="E42" s="23">
        <v>636046220</v>
      </c>
      <c r="F42" s="23">
        <v>2545457930</v>
      </c>
    </row>
    <row r="43" spans="1:6" x14ac:dyDescent="0.25">
      <c r="A43">
        <v>51631</v>
      </c>
      <c r="B43" t="s">
        <v>756</v>
      </c>
      <c r="C43" s="23">
        <v>2763888480</v>
      </c>
      <c r="D43" s="23">
        <v>660384240</v>
      </c>
      <c r="E43" s="23">
        <v>229864060</v>
      </c>
      <c r="F43" s="23">
        <v>3654136780</v>
      </c>
    </row>
    <row r="44" spans="1:6" x14ac:dyDescent="0.25">
      <c r="A44">
        <v>51656</v>
      </c>
      <c r="B44" t="s">
        <v>757</v>
      </c>
      <c r="C44" s="23">
        <v>2575544910</v>
      </c>
      <c r="D44" s="23">
        <v>624756980</v>
      </c>
      <c r="E44" s="23">
        <v>856279640</v>
      </c>
      <c r="F44" s="23">
        <v>4056581530</v>
      </c>
    </row>
    <row r="45" spans="1:6" x14ac:dyDescent="0.25">
      <c r="A45">
        <v>51672</v>
      </c>
      <c r="B45" t="s">
        <v>758</v>
      </c>
      <c r="C45" s="23">
        <v>1423264110</v>
      </c>
      <c r="D45" s="23">
        <v>158933690</v>
      </c>
      <c r="E45" s="23">
        <v>206866070</v>
      </c>
      <c r="F45" s="23">
        <v>1789063870</v>
      </c>
    </row>
    <row r="46" spans="1:6" x14ac:dyDescent="0.25">
      <c r="A46">
        <v>51698</v>
      </c>
      <c r="B46" t="s">
        <v>759</v>
      </c>
      <c r="C46" s="23">
        <v>1032052510</v>
      </c>
      <c r="D46" s="23">
        <v>252002830</v>
      </c>
      <c r="E46" s="23">
        <v>377942710</v>
      </c>
      <c r="F46" s="23">
        <v>1661998050</v>
      </c>
    </row>
    <row r="47" spans="1:6" x14ac:dyDescent="0.25">
      <c r="A47">
        <v>51714</v>
      </c>
      <c r="B47" t="s">
        <v>178</v>
      </c>
      <c r="C47" s="23">
        <v>2281742640</v>
      </c>
      <c r="D47" s="23">
        <v>538518050</v>
      </c>
      <c r="E47" s="23">
        <v>471556170</v>
      </c>
      <c r="F47" s="23">
        <v>3291816860</v>
      </c>
    </row>
    <row r="48" spans="1:6" x14ac:dyDescent="0.25">
      <c r="A48">
        <v>62026</v>
      </c>
      <c r="B48" t="s">
        <v>760</v>
      </c>
      <c r="C48" s="23">
        <v>1335213440</v>
      </c>
      <c r="D48" s="23">
        <v>179406150</v>
      </c>
      <c r="E48" s="23">
        <v>287530080</v>
      </c>
      <c r="F48" s="23">
        <v>1802149670</v>
      </c>
    </row>
    <row r="49" spans="1:6" x14ac:dyDescent="0.25">
      <c r="A49">
        <v>62042</v>
      </c>
      <c r="B49" t="s">
        <v>761</v>
      </c>
      <c r="C49" s="23">
        <v>1203446730</v>
      </c>
      <c r="D49" s="23">
        <v>236264880</v>
      </c>
      <c r="E49" s="23">
        <v>482378810</v>
      </c>
      <c r="F49" s="23">
        <v>1922090420</v>
      </c>
    </row>
    <row r="50" spans="1:6" x14ac:dyDescent="0.25">
      <c r="A50">
        <v>62067</v>
      </c>
      <c r="B50" t="s">
        <v>762</v>
      </c>
      <c r="C50" s="23">
        <v>1060243200</v>
      </c>
      <c r="D50" s="23">
        <v>241103240</v>
      </c>
      <c r="E50" s="23">
        <v>622306880</v>
      </c>
      <c r="F50" s="23">
        <v>1923653320</v>
      </c>
    </row>
    <row r="51" spans="1:6" x14ac:dyDescent="0.25">
      <c r="A51">
        <v>62109</v>
      </c>
      <c r="B51" t="s">
        <v>763</v>
      </c>
      <c r="C51" s="23">
        <v>4343305360</v>
      </c>
      <c r="D51" s="23">
        <v>770511270</v>
      </c>
      <c r="E51" s="23">
        <v>363994690</v>
      </c>
      <c r="F51" s="23">
        <v>5477811320</v>
      </c>
    </row>
    <row r="52" spans="1:6" x14ac:dyDescent="0.25">
      <c r="A52">
        <v>62125</v>
      </c>
      <c r="B52" t="s">
        <v>764</v>
      </c>
      <c r="C52" s="23">
        <v>2136668180</v>
      </c>
      <c r="D52" s="23">
        <v>529323420</v>
      </c>
      <c r="E52" s="23">
        <v>99727740</v>
      </c>
      <c r="F52" s="23">
        <v>2765719340</v>
      </c>
    </row>
    <row r="53" spans="1:6" x14ac:dyDescent="0.25">
      <c r="A53">
        <v>62802</v>
      </c>
      <c r="B53" t="s">
        <v>765</v>
      </c>
      <c r="C53" s="23">
        <v>721049910</v>
      </c>
      <c r="D53" s="23">
        <v>99961840</v>
      </c>
      <c r="E53" s="23">
        <v>103304080</v>
      </c>
      <c r="F53" s="23">
        <v>924315830</v>
      </c>
    </row>
    <row r="54" spans="1:6" x14ac:dyDescent="0.25">
      <c r="A54">
        <v>63495</v>
      </c>
      <c r="B54" t="s">
        <v>766</v>
      </c>
      <c r="C54" s="23">
        <v>1539563470</v>
      </c>
      <c r="D54" s="23">
        <v>341298650</v>
      </c>
      <c r="E54" s="23">
        <v>156675460</v>
      </c>
      <c r="F54" s="23">
        <v>2037537580</v>
      </c>
    </row>
    <row r="55" spans="1:6" x14ac:dyDescent="0.25">
      <c r="A55">
        <v>63511</v>
      </c>
      <c r="B55" t="s">
        <v>767</v>
      </c>
      <c r="C55" s="23">
        <v>6948151000</v>
      </c>
      <c r="D55" s="23">
        <v>1962191640</v>
      </c>
      <c r="E55" s="23">
        <v>332835880</v>
      </c>
      <c r="F55" s="23">
        <v>9243178520</v>
      </c>
    </row>
    <row r="56" spans="1:6" x14ac:dyDescent="0.25">
      <c r="A56">
        <v>65227</v>
      </c>
      <c r="B56" t="s">
        <v>768</v>
      </c>
      <c r="C56" s="23">
        <v>550479740</v>
      </c>
      <c r="D56" s="23">
        <v>118773010</v>
      </c>
      <c r="E56" s="23">
        <v>96095460</v>
      </c>
      <c r="F56" s="23">
        <v>765348210</v>
      </c>
    </row>
    <row r="57" spans="1:6" x14ac:dyDescent="0.25">
      <c r="A57">
        <v>65268</v>
      </c>
      <c r="B57" t="s">
        <v>769</v>
      </c>
      <c r="C57" s="23">
        <v>1724193430</v>
      </c>
      <c r="D57" s="23">
        <v>252056890</v>
      </c>
      <c r="E57" s="23">
        <v>175186930</v>
      </c>
      <c r="F57" s="23">
        <v>2151437250</v>
      </c>
    </row>
    <row r="59" spans="1:6" x14ac:dyDescent="0.25">
      <c r="C59" s="23">
        <f>SUM(C9:C57)</f>
        <v>150544567960</v>
      </c>
      <c r="D59" s="23">
        <f t="shared" ref="D59:F59" si="0">SUM(D9:D57)</f>
        <v>34203380571</v>
      </c>
      <c r="E59" s="23">
        <f t="shared" si="0"/>
        <v>20197784270</v>
      </c>
      <c r="F59" s="23">
        <f t="shared" si="0"/>
        <v>204945732801</v>
      </c>
    </row>
  </sheetData>
  <mergeCells count="1">
    <mergeCell ref="A1:B1"/>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20A50-D093-4265-81C5-1EB16C6CB85B}">
  <dimension ref="A2:H52"/>
  <sheetViews>
    <sheetView workbookViewId="0">
      <pane xSplit="3" ySplit="2" topLeftCell="D42" activePane="bottomRight" state="frozen"/>
      <selection pane="topRight" activeCell="D1" sqref="D1"/>
      <selection pane="bottomLeft" activeCell="A3" sqref="A3"/>
      <selection pane="bottomRight" activeCell="G64" sqref="G64"/>
    </sheetView>
  </sheetViews>
  <sheetFormatPr defaultRowHeight="15" x14ac:dyDescent="0.25"/>
  <cols>
    <col min="1" max="1" width="7.5703125" bestFit="1" customWidth="1"/>
    <col min="2" max="2" width="46" bestFit="1" customWidth="1"/>
    <col min="3" max="3" width="13.140625" bestFit="1" customWidth="1"/>
    <col min="4" max="4" width="16.42578125" bestFit="1" customWidth="1"/>
    <col min="5" max="5" width="17.5703125" bestFit="1" customWidth="1"/>
    <col min="6" max="7" width="16.42578125" bestFit="1" customWidth="1"/>
    <col min="8" max="8" width="18.28515625" customWidth="1"/>
  </cols>
  <sheetData>
    <row r="2" spans="1:8" s="4" customFormat="1" ht="45" x14ac:dyDescent="0.25">
      <c r="A2" s="4" t="s">
        <v>93</v>
      </c>
      <c r="B2" s="4" t="s">
        <v>94</v>
      </c>
      <c r="C2" s="4" t="s">
        <v>95</v>
      </c>
      <c r="D2" s="3" t="s">
        <v>378</v>
      </c>
      <c r="E2" s="3" t="s">
        <v>770</v>
      </c>
      <c r="F2" s="3" t="s">
        <v>771</v>
      </c>
      <c r="G2" s="3" t="s">
        <v>379</v>
      </c>
      <c r="H2" s="3" t="s">
        <v>380</v>
      </c>
    </row>
    <row r="3" spans="1:8" x14ac:dyDescent="0.25">
      <c r="A3">
        <v>50773</v>
      </c>
      <c r="B3" t="s">
        <v>102</v>
      </c>
      <c r="C3" t="s">
        <v>202</v>
      </c>
      <c r="D3" s="23" t="e">
        <f>VLOOKUP(A3,Valuation_data!$A$3:$D$51,4,FALSE)</f>
        <v>#N/A</v>
      </c>
      <c r="E3" s="23">
        <f>VLOOKUP(A3,'TY20'!$A$9:$F$57,6,FALSE)</f>
        <v>2516045200</v>
      </c>
      <c r="F3" s="23" t="e">
        <f>VLOOKUP(A3,Valuation_data!$A$3:$E$51,5,FALSE)</f>
        <v>#N/A</v>
      </c>
      <c r="G3" s="23" t="e">
        <f>(E3+D3+F3)/3</f>
        <v>#N/A</v>
      </c>
      <c r="H3" s="23" t="e">
        <f>MIN(D3,G3)</f>
        <v>#N/A</v>
      </c>
    </row>
    <row r="4" spans="1:8" x14ac:dyDescent="0.25">
      <c r="A4">
        <v>50799</v>
      </c>
      <c r="B4" t="s">
        <v>104</v>
      </c>
      <c r="C4" t="s">
        <v>203</v>
      </c>
      <c r="D4" s="23" t="e">
        <f>VLOOKUP(A4,Valuation_data!$A$3:$D$51,4,FALSE)</f>
        <v>#N/A</v>
      </c>
      <c r="E4" s="23">
        <f>VLOOKUP(A4,'TY20'!$A$9:$F$57,6,FALSE)</f>
        <v>982873710</v>
      </c>
      <c r="F4" s="23" t="e">
        <f>VLOOKUP(A4,Valuation_data!$A$3:$E$51,5,FALSE)</f>
        <v>#N/A</v>
      </c>
      <c r="G4" s="23" t="e">
        <f t="shared" ref="G4:G51" si="0">(E4+D4+F4)/3</f>
        <v>#N/A</v>
      </c>
      <c r="H4" s="23" t="e">
        <f t="shared" ref="H4:H51" si="1">MIN(D4,G4)</f>
        <v>#N/A</v>
      </c>
    </row>
    <row r="5" spans="1:8" x14ac:dyDescent="0.25">
      <c r="A5">
        <v>50815</v>
      </c>
      <c r="B5" t="s">
        <v>106</v>
      </c>
      <c r="C5" t="s">
        <v>204</v>
      </c>
      <c r="D5" s="23" t="e">
        <f>VLOOKUP(A5,Valuation_data!$A$3:$D$51,4,FALSE)</f>
        <v>#N/A</v>
      </c>
      <c r="E5" s="23">
        <f>VLOOKUP(A5,'TY20'!$A$9:$F$57,6,FALSE)</f>
        <v>2021006160</v>
      </c>
      <c r="F5" s="23" t="e">
        <f>VLOOKUP(A5,Valuation_data!$A$3:$E$51,5,FALSE)</f>
        <v>#N/A</v>
      </c>
      <c r="G5" s="23" t="e">
        <f t="shared" si="0"/>
        <v>#N/A</v>
      </c>
      <c r="H5" s="23" t="e">
        <f t="shared" si="1"/>
        <v>#N/A</v>
      </c>
    </row>
    <row r="6" spans="1:8" x14ac:dyDescent="0.25">
      <c r="A6">
        <v>50856</v>
      </c>
      <c r="B6" t="s">
        <v>108</v>
      </c>
      <c r="C6" t="s">
        <v>205</v>
      </c>
      <c r="D6" s="23" t="e">
        <f>VLOOKUP(A6,Valuation_data!$A$3:$D$51,4,FALSE)</f>
        <v>#N/A</v>
      </c>
      <c r="E6" s="23">
        <f>VLOOKUP(A6,'TY20'!$A$9:$F$57,6,FALSE)</f>
        <v>2825149940</v>
      </c>
      <c r="F6" s="23" t="e">
        <f>VLOOKUP(A6,Valuation_data!$A$3:$E$51,5,FALSE)</f>
        <v>#N/A</v>
      </c>
      <c r="G6" s="23" t="e">
        <f t="shared" si="0"/>
        <v>#N/A</v>
      </c>
      <c r="H6" s="23" t="e">
        <f t="shared" si="1"/>
        <v>#N/A</v>
      </c>
    </row>
    <row r="7" spans="1:8" x14ac:dyDescent="0.25">
      <c r="A7">
        <v>50880</v>
      </c>
      <c r="B7" t="s">
        <v>110</v>
      </c>
      <c r="C7" t="s">
        <v>206</v>
      </c>
      <c r="D7" s="23" t="e">
        <f>VLOOKUP(A7,Valuation_data!$A$3:$D$51,4,FALSE)</f>
        <v>#N/A</v>
      </c>
      <c r="E7" s="23">
        <f>VLOOKUP(A7,'TY20'!$A$9:$F$57,6,FALSE)</f>
        <v>11410394160</v>
      </c>
      <c r="F7" s="23" t="e">
        <f>VLOOKUP(A7,Valuation_data!$A$3:$E$51,5,FALSE)</f>
        <v>#N/A</v>
      </c>
      <c r="G7" s="23" t="e">
        <f t="shared" si="0"/>
        <v>#N/A</v>
      </c>
      <c r="H7" s="23" t="e">
        <f t="shared" si="1"/>
        <v>#N/A</v>
      </c>
    </row>
    <row r="8" spans="1:8" x14ac:dyDescent="0.25">
      <c r="A8">
        <v>50906</v>
      </c>
      <c r="B8" t="s">
        <v>112</v>
      </c>
      <c r="C8" t="s">
        <v>207</v>
      </c>
      <c r="D8" s="23" t="e">
        <f>VLOOKUP(A8,Valuation_data!$A$3:$D$51,4,FALSE)</f>
        <v>#N/A</v>
      </c>
      <c r="E8" s="23">
        <f>VLOOKUP(A8,'TY20'!$A$9:$F$57,6,FALSE)</f>
        <v>1556225900</v>
      </c>
      <c r="F8" s="23" t="e">
        <f>VLOOKUP(A8,Valuation_data!$A$3:$E$51,5,FALSE)</f>
        <v>#N/A</v>
      </c>
      <c r="G8" s="23" t="e">
        <f t="shared" si="0"/>
        <v>#N/A</v>
      </c>
      <c r="H8" s="23" t="e">
        <f t="shared" si="1"/>
        <v>#N/A</v>
      </c>
    </row>
    <row r="9" spans="1:8" x14ac:dyDescent="0.25">
      <c r="A9">
        <v>50922</v>
      </c>
      <c r="B9" t="s">
        <v>114</v>
      </c>
      <c r="C9" t="s">
        <v>208</v>
      </c>
      <c r="D9" s="23" t="e">
        <f>VLOOKUP(A9,Valuation_data!$A$3:$D$51,4,FALSE)</f>
        <v>#N/A</v>
      </c>
      <c r="E9" s="23">
        <f>VLOOKUP(A9,'TY20'!$A$9:$F$57,6,FALSE)</f>
        <v>6881044100</v>
      </c>
      <c r="F9" s="23" t="e">
        <f>VLOOKUP(A9,Valuation_data!$A$3:$E$51,5,FALSE)</f>
        <v>#N/A</v>
      </c>
      <c r="G9" s="23" t="e">
        <f t="shared" si="0"/>
        <v>#N/A</v>
      </c>
      <c r="H9" s="23" t="e">
        <f t="shared" si="1"/>
        <v>#N/A</v>
      </c>
    </row>
    <row r="10" spans="1:8" x14ac:dyDescent="0.25">
      <c r="A10">
        <v>50948</v>
      </c>
      <c r="B10" t="s">
        <v>116</v>
      </c>
      <c r="C10" t="s">
        <v>208</v>
      </c>
      <c r="D10" s="23" t="e">
        <f>VLOOKUP(A10,Valuation_data!$A$3:$D$51,4,FALSE)</f>
        <v>#N/A</v>
      </c>
      <c r="E10" s="23">
        <f>VLOOKUP(A10,'TY20'!$A$9:$F$57,6,FALSE)</f>
        <v>5304047010</v>
      </c>
      <c r="F10" s="23" t="e">
        <f>VLOOKUP(A10,Valuation_data!$A$3:$E$51,5,FALSE)</f>
        <v>#N/A</v>
      </c>
      <c r="G10" s="23" t="e">
        <f t="shared" si="0"/>
        <v>#N/A</v>
      </c>
      <c r="H10" s="23" t="e">
        <f t="shared" si="1"/>
        <v>#N/A</v>
      </c>
    </row>
    <row r="11" spans="1:8" x14ac:dyDescent="0.25">
      <c r="A11">
        <v>50963</v>
      </c>
      <c r="B11" t="s">
        <v>118</v>
      </c>
      <c r="C11" t="s">
        <v>209</v>
      </c>
      <c r="D11" s="23" t="e">
        <f>VLOOKUP(A11,Valuation_data!$A$3:$D$51,4,FALSE)</f>
        <v>#N/A</v>
      </c>
      <c r="E11" s="23">
        <f>VLOOKUP(A11,'TY20'!$A$9:$F$57,6,FALSE)</f>
        <v>4003644680</v>
      </c>
      <c r="F11" s="23" t="e">
        <f>VLOOKUP(A11,Valuation_data!$A$3:$E$51,5,FALSE)</f>
        <v>#N/A</v>
      </c>
      <c r="G11" s="23" t="e">
        <f t="shared" si="0"/>
        <v>#N/A</v>
      </c>
      <c r="H11" s="23" t="e">
        <f t="shared" si="1"/>
        <v>#N/A</v>
      </c>
    </row>
    <row r="12" spans="1:8" x14ac:dyDescent="0.25">
      <c r="A12">
        <v>50989</v>
      </c>
      <c r="B12" t="s">
        <v>120</v>
      </c>
      <c r="C12" t="s">
        <v>210</v>
      </c>
      <c r="D12" s="23" t="e">
        <f>VLOOKUP(A12,Valuation_data!$A$3:$D$51,4,FALSE)</f>
        <v>#N/A</v>
      </c>
      <c r="E12" s="23">
        <f>VLOOKUP(A12,'TY20'!$A$9:$F$57,6,FALSE)</f>
        <v>7668127390</v>
      </c>
      <c r="F12" s="23" t="e">
        <f>VLOOKUP(A12,Valuation_data!$A$3:$E$51,5,FALSE)</f>
        <v>#N/A</v>
      </c>
      <c r="G12" s="23" t="e">
        <f t="shared" si="0"/>
        <v>#N/A</v>
      </c>
      <c r="H12" s="23" t="e">
        <f t="shared" si="1"/>
        <v>#N/A</v>
      </c>
    </row>
    <row r="13" spans="1:8" x14ac:dyDescent="0.25">
      <c r="A13">
        <v>51003</v>
      </c>
      <c r="B13" t="s">
        <v>122</v>
      </c>
      <c r="C13" t="s">
        <v>211</v>
      </c>
      <c r="D13" s="23" t="e">
        <f>VLOOKUP(A13,Valuation_data!$A$3:$D$51,4,FALSE)</f>
        <v>#N/A</v>
      </c>
      <c r="E13" s="23">
        <f>VLOOKUP(A13,'TY20'!$A$9:$F$57,6,FALSE)</f>
        <v>10288861020</v>
      </c>
      <c r="F13" s="23" t="e">
        <f>VLOOKUP(A13,Valuation_data!$A$3:$E$51,5,FALSE)</f>
        <v>#N/A</v>
      </c>
      <c r="G13" s="23" t="e">
        <f t="shared" si="0"/>
        <v>#N/A</v>
      </c>
      <c r="H13" s="23" t="e">
        <f t="shared" si="1"/>
        <v>#N/A</v>
      </c>
    </row>
    <row r="14" spans="1:8" x14ac:dyDescent="0.25">
      <c r="A14">
        <v>51029</v>
      </c>
      <c r="B14" t="s">
        <v>124</v>
      </c>
      <c r="C14" t="s">
        <v>212</v>
      </c>
      <c r="D14" s="23" t="e">
        <f>VLOOKUP(A14,Valuation_data!$A$3:$D$51,4,FALSE)</f>
        <v>#N/A</v>
      </c>
      <c r="E14" s="23">
        <f>VLOOKUP(A14,'TY20'!$A$9:$F$57,6,FALSE)</f>
        <v>3895482180</v>
      </c>
      <c r="F14" s="23" t="e">
        <f>VLOOKUP(A14,Valuation_data!$A$3:$E$51,5,FALSE)</f>
        <v>#N/A</v>
      </c>
      <c r="G14" s="23" t="e">
        <f t="shared" si="0"/>
        <v>#N/A</v>
      </c>
      <c r="H14" s="23" t="e">
        <f t="shared" si="1"/>
        <v>#N/A</v>
      </c>
    </row>
    <row r="15" spans="1:8" x14ac:dyDescent="0.25">
      <c r="A15">
        <v>51045</v>
      </c>
      <c r="B15" t="s">
        <v>126</v>
      </c>
      <c r="C15" t="s">
        <v>213</v>
      </c>
      <c r="D15" s="23" t="e">
        <f>VLOOKUP(A15,Valuation_data!$A$3:$D$51,4,FALSE)</f>
        <v>#N/A</v>
      </c>
      <c r="E15" s="23">
        <f>VLOOKUP(A15,'TY20'!$A$9:$F$57,6,FALSE)</f>
        <v>4759538340</v>
      </c>
      <c r="F15" s="23" t="e">
        <f>VLOOKUP(A15,Valuation_data!$A$3:$E$51,5,FALSE)</f>
        <v>#N/A</v>
      </c>
      <c r="G15" s="23" t="e">
        <f t="shared" si="0"/>
        <v>#N/A</v>
      </c>
      <c r="H15" s="23" t="e">
        <f t="shared" si="1"/>
        <v>#N/A</v>
      </c>
    </row>
    <row r="16" spans="1:8" x14ac:dyDescent="0.25">
      <c r="A16">
        <v>51060</v>
      </c>
      <c r="B16" t="s">
        <v>128</v>
      </c>
      <c r="C16" t="s">
        <v>214</v>
      </c>
      <c r="D16" s="23" t="e">
        <f>VLOOKUP(A16,Valuation_data!$A$3:$D$51,4,FALSE)</f>
        <v>#N/A</v>
      </c>
      <c r="E16" s="23">
        <f>VLOOKUP(A16,'TY20'!$A$9:$F$57,6,FALSE)</f>
        <v>22630076580</v>
      </c>
      <c r="F16" s="23" t="e">
        <f>VLOOKUP(A16,Valuation_data!$A$3:$E$51,5,FALSE)</f>
        <v>#N/A</v>
      </c>
      <c r="G16" s="23" t="e">
        <f t="shared" si="0"/>
        <v>#N/A</v>
      </c>
      <c r="H16" s="23" t="e">
        <f t="shared" si="1"/>
        <v>#N/A</v>
      </c>
    </row>
    <row r="17" spans="1:8" x14ac:dyDescent="0.25">
      <c r="A17">
        <v>51128</v>
      </c>
      <c r="B17" t="s">
        <v>130</v>
      </c>
      <c r="C17" t="s">
        <v>215</v>
      </c>
      <c r="D17" s="23" t="e">
        <f>VLOOKUP(A17,Valuation_data!$A$3:$D$51,4,FALSE)</f>
        <v>#N/A</v>
      </c>
      <c r="E17" s="23">
        <f>VLOOKUP(A17,'TY20'!$A$9:$F$57,6,FALSE)</f>
        <v>1813574520</v>
      </c>
      <c r="F17" s="23" t="e">
        <f>VLOOKUP(A17,Valuation_data!$A$3:$E$51,5,FALSE)</f>
        <v>#N/A</v>
      </c>
      <c r="G17" s="23" t="e">
        <f t="shared" si="0"/>
        <v>#N/A</v>
      </c>
      <c r="H17" s="23" t="e">
        <f t="shared" si="1"/>
        <v>#N/A</v>
      </c>
    </row>
    <row r="18" spans="1:8" x14ac:dyDescent="0.25">
      <c r="A18">
        <v>51144</v>
      </c>
      <c r="B18" t="s">
        <v>132</v>
      </c>
      <c r="C18" t="s">
        <v>216</v>
      </c>
      <c r="D18" s="23" t="e">
        <f>VLOOKUP(A18,Valuation_data!$A$3:$D$51,4,FALSE)</f>
        <v>#N/A</v>
      </c>
      <c r="E18" s="23">
        <f>VLOOKUP(A18,'TY20'!$A$9:$F$57,6,FALSE)</f>
        <v>1834649019</v>
      </c>
      <c r="F18" s="23" t="e">
        <f>VLOOKUP(A18,Valuation_data!$A$3:$E$51,5,FALSE)</f>
        <v>#N/A</v>
      </c>
      <c r="G18" s="23" t="e">
        <f t="shared" si="0"/>
        <v>#N/A</v>
      </c>
      <c r="H18" s="23" t="e">
        <f t="shared" si="1"/>
        <v>#N/A</v>
      </c>
    </row>
    <row r="19" spans="1:8" x14ac:dyDescent="0.25">
      <c r="A19">
        <v>51169</v>
      </c>
      <c r="B19" t="s">
        <v>134</v>
      </c>
      <c r="C19" t="s">
        <v>217</v>
      </c>
      <c r="D19" s="23" t="e">
        <f>VLOOKUP(A19,Valuation_data!$A$3:$D$51,4,FALSE)</f>
        <v>#N/A</v>
      </c>
      <c r="E19" s="23">
        <f>VLOOKUP(A19,'TY20'!$A$9:$F$57,6,FALSE)</f>
        <v>4895711470</v>
      </c>
      <c r="F19" s="23" t="e">
        <f>VLOOKUP(A19,Valuation_data!$A$3:$E$51,5,FALSE)</f>
        <v>#N/A</v>
      </c>
      <c r="G19" s="23" t="e">
        <f t="shared" si="0"/>
        <v>#N/A</v>
      </c>
      <c r="H19" s="23" t="e">
        <f t="shared" si="1"/>
        <v>#N/A</v>
      </c>
    </row>
    <row r="20" spans="1:8" x14ac:dyDescent="0.25">
      <c r="A20">
        <v>51185</v>
      </c>
      <c r="B20" t="s">
        <v>136</v>
      </c>
      <c r="C20" t="s">
        <v>218</v>
      </c>
      <c r="D20" s="23" t="e">
        <f>VLOOKUP(A20,Valuation_data!$A$3:$D$51,4,FALSE)</f>
        <v>#N/A</v>
      </c>
      <c r="E20" s="23">
        <f>VLOOKUP(A20,'TY20'!$A$9:$F$57,6,FALSE)</f>
        <v>1418221120</v>
      </c>
      <c r="F20" s="23" t="e">
        <f>VLOOKUP(A20,Valuation_data!$A$3:$E$51,5,FALSE)</f>
        <v>#N/A</v>
      </c>
      <c r="G20" s="23" t="e">
        <f t="shared" si="0"/>
        <v>#N/A</v>
      </c>
      <c r="H20" s="23" t="e">
        <f t="shared" si="1"/>
        <v>#N/A</v>
      </c>
    </row>
    <row r="21" spans="1:8" x14ac:dyDescent="0.25">
      <c r="A21">
        <v>51201</v>
      </c>
      <c r="B21" t="s">
        <v>138</v>
      </c>
      <c r="C21" t="s">
        <v>219</v>
      </c>
      <c r="D21" s="23" t="e">
        <f>VLOOKUP(A21,Valuation_data!$A$3:$D$51,4,FALSE)</f>
        <v>#N/A</v>
      </c>
      <c r="E21" s="23">
        <f>VLOOKUP(A21,'TY20'!$A$9:$F$57,6,FALSE)</f>
        <v>5566438599</v>
      </c>
      <c r="F21" s="23" t="e">
        <f>VLOOKUP(A21,Valuation_data!$A$3:$E$51,5,FALSE)</f>
        <v>#N/A</v>
      </c>
      <c r="G21" s="23" t="e">
        <f t="shared" si="0"/>
        <v>#N/A</v>
      </c>
      <c r="H21" s="23" t="e">
        <f t="shared" si="1"/>
        <v>#N/A</v>
      </c>
    </row>
    <row r="22" spans="1:8" x14ac:dyDescent="0.25">
      <c r="A22">
        <v>51227</v>
      </c>
      <c r="B22" t="s">
        <v>140</v>
      </c>
      <c r="C22" t="s">
        <v>220</v>
      </c>
      <c r="D22" s="23" t="e">
        <f>VLOOKUP(A22,Valuation_data!$A$3:$D$51,4,FALSE)</f>
        <v>#N/A</v>
      </c>
      <c r="E22" s="23">
        <f>VLOOKUP(A22,'TY20'!$A$9:$F$57,6,FALSE)</f>
        <v>7022195840</v>
      </c>
      <c r="F22" s="23" t="e">
        <f>VLOOKUP(A22,Valuation_data!$A$3:$E$51,5,FALSE)</f>
        <v>#N/A</v>
      </c>
      <c r="G22" s="23" t="e">
        <f t="shared" si="0"/>
        <v>#N/A</v>
      </c>
      <c r="H22" s="23" t="e">
        <f t="shared" si="1"/>
        <v>#N/A</v>
      </c>
    </row>
    <row r="23" spans="1:8" x14ac:dyDescent="0.25">
      <c r="A23">
        <v>51243</v>
      </c>
      <c r="B23" t="s">
        <v>142</v>
      </c>
      <c r="C23" t="s">
        <v>221</v>
      </c>
      <c r="D23" s="23" t="e">
        <f>VLOOKUP(A23,Valuation_data!$A$3:$D$51,4,FALSE)</f>
        <v>#N/A</v>
      </c>
      <c r="E23" s="23">
        <f>VLOOKUP(A23,'TY20'!$A$9:$F$57,6,FALSE)</f>
        <v>4212009460</v>
      </c>
      <c r="F23" s="23" t="e">
        <f>VLOOKUP(A23,Valuation_data!$A$3:$E$51,5,FALSE)</f>
        <v>#N/A</v>
      </c>
      <c r="G23" s="23" t="e">
        <f t="shared" si="0"/>
        <v>#N/A</v>
      </c>
      <c r="H23" s="23" t="e">
        <f t="shared" si="1"/>
        <v>#N/A</v>
      </c>
    </row>
    <row r="24" spans="1:8" x14ac:dyDescent="0.25">
      <c r="A24">
        <v>51284</v>
      </c>
      <c r="B24" t="s">
        <v>144</v>
      </c>
      <c r="C24" t="s">
        <v>222</v>
      </c>
      <c r="D24" s="23" t="e">
        <f>VLOOKUP(A24,Valuation_data!$A$3:$D$51,4,FALSE)</f>
        <v>#N/A</v>
      </c>
      <c r="E24" s="23">
        <f>VLOOKUP(A24,'TY20'!$A$9:$F$57,6,FALSE)</f>
        <v>7832673350</v>
      </c>
      <c r="F24" s="23" t="e">
        <f>VLOOKUP(A24,Valuation_data!$A$3:$E$51,5,FALSE)</f>
        <v>#N/A</v>
      </c>
      <c r="G24" s="23" t="e">
        <f t="shared" si="0"/>
        <v>#N/A</v>
      </c>
      <c r="H24" s="23" t="e">
        <f t="shared" si="1"/>
        <v>#N/A</v>
      </c>
    </row>
    <row r="25" spans="1:8" x14ac:dyDescent="0.25">
      <c r="A25">
        <v>51300</v>
      </c>
      <c r="B25" t="s">
        <v>146</v>
      </c>
      <c r="C25" t="s">
        <v>223</v>
      </c>
      <c r="D25" s="23" t="e">
        <f>VLOOKUP(A25,Valuation_data!$A$3:$D$51,4,FALSE)</f>
        <v>#N/A</v>
      </c>
      <c r="E25" s="23">
        <f>VLOOKUP(A25,'TY20'!$A$9:$F$57,6,FALSE)</f>
        <v>4774170263</v>
      </c>
      <c r="F25" s="23" t="e">
        <f>VLOOKUP(A25,Valuation_data!$A$3:$E$51,5,FALSE)</f>
        <v>#N/A</v>
      </c>
      <c r="G25" s="23" t="e">
        <f t="shared" si="0"/>
        <v>#N/A</v>
      </c>
      <c r="H25" s="23" t="e">
        <f t="shared" si="1"/>
        <v>#N/A</v>
      </c>
    </row>
    <row r="26" spans="1:8" x14ac:dyDescent="0.25">
      <c r="A26">
        <v>51334</v>
      </c>
      <c r="B26" t="s">
        <v>148</v>
      </c>
      <c r="C26" t="s">
        <v>224</v>
      </c>
      <c r="D26" s="23" t="e">
        <f>VLOOKUP(A26,Valuation_data!$A$3:$D$51,4,FALSE)</f>
        <v>#N/A</v>
      </c>
      <c r="E26" s="23">
        <f>VLOOKUP(A26,'TY20'!$A$9:$F$57,6,FALSE)</f>
        <v>3740376890</v>
      </c>
      <c r="F26" s="23" t="e">
        <f>VLOOKUP(A26,Valuation_data!$A$3:$E$51,5,FALSE)</f>
        <v>#N/A</v>
      </c>
      <c r="G26" s="23" t="e">
        <f t="shared" si="0"/>
        <v>#N/A</v>
      </c>
      <c r="H26" s="23" t="e">
        <f t="shared" si="1"/>
        <v>#N/A</v>
      </c>
    </row>
    <row r="27" spans="1:8" x14ac:dyDescent="0.25">
      <c r="A27">
        <v>51359</v>
      </c>
      <c r="B27" t="s">
        <v>150</v>
      </c>
      <c r="C27" t="s">
        <v>225</v>
      </c>
      <c r="D27" s="23" t="e">
        <f>VLOOKUP(A27,Valuation_data!$A$3:$D$51,4,FALSE)</f>
        <v>#N/A</v>
      </c>
      <c r="E27" s="23">
        <f>VLOOKUP(A27,'TY20'!$A$9:$F$57,6,FALSE)</f>
        <v>7269496900</v>
      </c>
      <c r="F27" s="23" t="e">
        <f>VLOOKUP(A27,Valuation_data!$A$3:$E$51,5,FALSE)</f>
        <v>#N/A</v>
      </c>
      <c r="G27" s="23" t="e">
        <f t="shared" si="0"/>
        <v>#N/A</v>
      </c>
      <c r="H27" s="23" t="e">
        <f t="shared" si="1"/>
        <v>#N/A</v>
      </c>
    </row>
    <row r="28" spans="1:8" x14ac:dyDescent="0.25">
      <c r="A28">
        <v>51375</v>
      </c>
      <c r="B28" t="s">
        <v>152</v>
      </c>
      <c r="C28" t="s">
        <v>226</v>
      </c>
      <c r="D28" s="23" t="e">
        <f>VLOOKUP(A28,Valuation_data!$A$3:$D$51,4,FALSE)</f>
        <v>#N/A</v>
      </c>
      <c r="E28" s="23">
        <f>VLOOKUP(A28,'TY20'!$A$9:$F$57,6,FALSE)</f>
        <v>568448060</v>
      </c>
      <c r="F28" s="23" t="e">
        <f>VLOOKUP(A28,Valuation_data!$A$3:$E$51,5,FALSE)</f>
        <v>#N/A</v>
      </c>
      <c r="G28" s="23" t="e">
        <f t="shared" si="0"/>
        <v>#N/A</v>
      </c>
      <c r="H28" s="23" t="e">
        <f t="shared" si="1"/>
        <v>#N/A</v>
      </c>
    </row>
    <row r="29" spans="1:8" x14ac:dyDescent="0.25">
      <c r="A29">
        <v>51391</v>
      </c>
      <c r="B29" t="s">
        <v>154</v>
      </c>
      <c r="C29" t="s">
        <v>227</v>
      </c>
      <c r="D29" s="23" t="e">
        <f>VLOOKUP(A29,Valuation_data!$A$3:$D$51,4,FALSE)</f>
        <v>#N/A</v>
      </c>
      <c r="E29" s="23">
        <f>VLOOKUP(A29,'TY20'!$A$9:$F$57,6,FALSE)</f>
        <v>2661239780</v>
      </c>
      <c r="F29" s="23" t="e">
        <f>VLOOKUP(A29,Valuation_data!$A$3:$E$51,5,FALSE)</f>
        <v>#N/A</v>
      </c>
      <c r="G29" s="23" t="e">
        <f t="shared" si="0"/>
        <v>#N/A</v>
      </c>
      <c r="H29" s="23" t="e">
        <f t="shared" si="1"/>
        <v>#N/A</v>
      </c>
    </row>
    <row r="30" spans="1:8" x14ac:dyDescent="0.25">
      <c r="A30">
        <v>51417</v>
      </c>
      <c r="B30" t="s">
        <v>156</v>
      </c>
      <c r="C30" t="s">
        <v>228</v>
      </c>
      <c r="D30" s="23" t="e">
        <f>VLOOKUP(A30,Valuation_data!$A$3:$D$51,4,FALSE)</f>
        <v>#N/A</v>
      </c>
      <c r="E30" s="23">
        <f>VLOOKUP(A30,'TY20'!$A$9:$F$57,6,FALSE)</f>
        <v>3117643030</v>
      </c>
      <c r="F30" s="23" t="e">
        <f>VLOOKUP(A30,Valuation_data!$A$3:$E$51,5,FALSE)</f>
        <v>#N/A</v>
      </c>
      <c r="G30" s="23" t="e">
        <f t="shared" si="0"/>
        <v>#N/A</v>
      </c>
      <c r="H30" s="23" t="e">
        <f t="shared" si="1"/>
        <v>#N/A</v>
      </c>
    </row>
    <row r="31" spans="1:8" x14ac:dyDescent="0.25">
      <c r="A31">
        <v>51433</v>
      </c>
      <c r="B31" t="s">
        <v>158</v>
      </c>
      <c r="C31" t="s">
        <v>229</v>
      </c>
      <c r="D31" s="23" t="e">
        <f>VLOOKUP(A31,Valuation_data!$A$3:$D$51,4,FALSE)</f>
        <v>#N/A</v>
      </c>
      <c r="E31" s="23">
        <f>VLOOKUP(A31,'TY20'!$A$9:$F$57,6,FALSE)</f>
        <v>2558690300</v>
      </c>
      <c r="F31" s="23" t="e">
        <f>VLOOKUP(A31,Valuation_data!$A$3:$E$51,5,FALSE)</f>
        <v>#N/A</v>
      </c>
      <c r="G31" s="23" t="e">
        <f t="shared" si="0"/>
        <v>#N/A</v>
      </c>
      <c r="H31" s="23" t="e">
        <f t="shared" si="1"/>
        <v>#N/A</v>
      </c>
    </row>
    <row r="32" spans="1:8" x14ac:dyDescent="0.25">
      <c r="A32">
        <v>51458</v>
      </c>
      <c r="B32" t="s">
        <v>160</v>
      </c>
      <c r="C32" t="s">
        <v>230</v>
      </c>
      <c r="D32" s="23" t="e">
        <f>VLOOKUP(A32,Valuation_data!$A$3:$D$51,4,FALSE)</f>
        <v>#N/A</v>
      </c>
      <c r="E32" s="23">
        <f>VLOOKUP(A32,'TY20'!$A$9:$F$57,6,FALSE)</f>
        <v>3733626260</v>
      </c>
      <c r="F32" s="23" t="e">
        <f>VLOOKUP(A32,Valuation_data!$A$3:$E$51,5,FALSE)</f>
        <v>#N/A</v>
      </c>
      <c r="G32" s="23" t="e">
        <f t="shared" si="0"/>
        <v>#N/A</v>
      </c>
      <c r="H32" s="23" t="e">
        <f t="shared" si="1"/>
        <v>#N/A</v>
      </c>
    </row>
    <row r="33" spans="1:8" x14ac:dyDescent="0.25">
      <c r="A33">
        <v>51474</v>
      </c>
      <c r="B33" t="s">
        <v>162</v>
      </c>
      <c r="C33" t="s">
        <v>231</v>
      </c>
      <c r="D33" s="23" t="e">
        <f>VLOOKUP(A33,Valuation_data!$A$3:$D$51,4,FALSE)</f>
        <v>#N/A</v>
      </c>
      <c r="E33" s="23">
        <f>VLOOKUP(A33,'TY20'!$A$9:$F$57,6,FALSE)</f>
        <v>5362101110</v>
      </c>
      <c r="F33" s="23" t="e">
        <f>VLOOKUP(A33,Valuation_data!$A$3:$E$51,5,FALSE)</f>
        <v>#N/A</v>
      </c>
      <c r="G33" s="23" t="e">
        <f t="shared" si="0"/>
        <v>#N/A</v>
      </c>
      <c r="H33" s="23" t="e">
        <f t="shared" si="1"/>
        <v>#N/A</v>
      </c>
    </row>
    <row r="34" spans="1:8" x14ac:dyDescent="0.25">
      <c r="A34">
        <v>51490</v>
      </c>
      <c r="B34" t="s">
        <v>164</v>
      </c>
      <c r="C34" t="s">
        <v>232</v>
      </c>
      <c r="D34" s="23" t="e">
        <f>VLOOKUP(A34,Valuation_data!$A$3:$D$51,4,FALSE)</f>
        <v>#N/A</v>
      </c>
      <c r="E34" s="23">
        <f>VLOOKUP(A34,'TY20'!$A$9:$F$57,6,FALSE)</f>
        <v>1192837030</v>
      </c>
      <c r="F34" s="23" t="e">
        <f>VLOOKUP(A34,Valuation_data!$A$3:$E$51,5,FALSE)</f>
        <v>#N/A</v>
      </c>
      <c r="G34" s="23" t="e">
        <f t="shared" si="0"/>
        <v>#N/A</v>
      </c>
      <c r="H34" s="23" t="e">
        <f t="shared" si="1"/>
        <v>#N/A</v>
      </c>
    </row>
    <row r="35" spans="1:8" x14ac:dyDescent="0.25">
      <c r="A35">
        <v>51532</v>
      </c>
      <c r="B35" t="s">
        <v>166</v>
      </c>
      <c r="C35" t="s">
        <v>233</v>
      </c>
      <c r="D35" s="23" t="e">
        <f>VLOOKUP(A35,Valuation_data!$A$3:$D$51,4,FALSE)</f>
        <v>#N/A</v>
      </c>
      <c r="E35" s="23">
        <f>VLOOKUP(A35,'TY20'!$A$9:$F$57,6,FALSE)</f>
        <v>2616816950</v>
      </c>
      <c r="F35" s="23" t="e">
        <f>VLOOKUP(A35,Valuation_data!$A$3:$E$51,5,FALSE)</f>
        <v>#N/A</v>
      </c>
      <c r="G35" s="23" t="e">
        <f t="shared" si="0"/>
        <v>#N/A</v>
      </c>
      <c r="H35" s="23" t="e">
        <f t="shared" si="1"/>
        <v>#N/A</v>
      </c>
    </row>
    <row r="36" spans="1:8" x14ac:dyDescent="0.25">
      <c r="A36">
        <v>51607</v>
      </c>
      <c r="B36" t="s">
        <v>168</v>
      </c>
      <c r="C36" t="s">
        <v>234</v>
      </c>
      <c r="D36" s="23" t="e">
        <f>VLOOKUP(A36,Valuation_data!$A$3:$D$51,4,FALSE)</f>
        <v>#N/A</v>
      </c>
      <c r="E36" s="23">
        <f>VLOOKUP(A36,'TY20'!$A$9:$F$57,6,FALSE)</f>
        <v>2545457930</v>
      </c>
      <c r="F36" s="23" t="e">
        <f>VLOOKUP(A36,Valuation_data!$A$3:$E$51,5,FALSE)</f>
        <v>#N/A</v>
      </c>
      <c r="G36" s="23" t="e">
        <f t="shared" si="0"/>
        <v>#N/A</v>
      </c>
      <c r="H36" s="23" t="e">
        <f t="shared" si="1"/>
        <v>#N/A</v>
      </c>
    </row>
    <row r="37" spans="1:8" x14ac:dyDescent="0.25">
      <c r="A37">
        <v>51631</v>
      </c>
      <c r="B37" t="s">
        <v>170</v>
      </c>
      <c r="C37" t="s">
        <v>235</v>
      </c>
      <c r="D37" s="23" t="e">
        <f>VLOOKUP(A37,Valuation_data!$A$3:$D$51,4,FALSE)</f>
        <v>#N/A</v>
      </c>
      <c r="E37" s="23">
        <f>VLOOKUP(A37,'TY20'!$A$9:$F$57,6,FALSE)</f>
        <v>3654136780</v>
      </c>
      <c r="F37" s="23" t="e">
        <f>VLOOKUP(A37,Valuation_data!$A$3:$E$51,5,FALSE)</f>
        <v>#N/A</v>
      </c>
      <c r="G37" s="23" t="e">
        <f t="shared" si="0"/>
        <v>#N/A</v>
      </c>
      <c r="H37" s="23" t="e">
        <f t="shared" si="1"/>
        <v>#N/A</v>
      </c>
    </row>
    <row r="38" spans="1:8" x14ac:dyDescent="0.25">
      <c r="A38">
        <v>51656</v>
      </c>
      <c r="B38" t="s">
        <v>172</v>
      </c>
      <c r="C38" t="s">
        <v>236</v>
      </c>
      <c r="D38" s="23" t="e">
        <f>VLOOKUP(A38,Valuation_data!$A$3:$D$51,4,FALSE)</f>
        <v>#N/A</v>
      </c>
      <c r="E38" s="23">
        <f>VLOOKUP(A38,'TY20'!$A$9:$F$57,6,FALSE)</f>
        <v>4056581530</v>
      </c>
      <c r="F38" s="23" t="e">
        <f>VLOOKUP(A38,Valuation_data!$A$3:$E$51,5,FALSE)</f>
        <v>#N/A</v>
      </c>
      <c r="G38" s="23" t="e">
        <f t="shared" si="0"/>
        <v>#N/A</v>
      </c>
      <c r="H38" s="23" t="e">
        <f t="shared" si="1"/>
        <v>#N/A</v>
      </c>
    </row>
    <row r="39" spans="1:8" x14ac:dyDescent="0.25">
      <c r="A39">
        <v>51672</v>
      </c>
      <c r="B39" t="s">
        <v>174</v>
      </c>
      <c r="C39" t="s">
        <v>237</v>
      </c>
      <c r="D39" s="23" t="e">
        <f>VLOOKUP(A39,Valuation_data!$A$3:$D$51,4,FALSE)</f>
        <v>#N/A</v>
      </c>
      <c r="E39" s="23">
        <f>VLOOKUP(A39,'TY20'!$A$9:$F$57,6,FALSE)</f>
        <v>1789063870</v>
      </c>
      <c r="F39" s="23" t="e">
        <f>VLOOKUP(A39,Valuation_data!$A$3:$E$51,5,FALSE)</f>
        <v>#N/A</v>
      </c>
      <c r="G39" s="23" t="e">
        <f t="shared" si="0"/>
        <v>#N/A</v>
      </c>
      <c r="H39" s="23" t="e">
        <f t="shared" si="1"/>
        <v>#N/A</v>
      </c>
    </row>
    <row r="40" spans="1:8" x14ac:dyDescent="0.25">
      <c r="A40">
        <v>51698</v>
      </c>
      <c r="B40" t="s">
        <v>176</v>
      </c>
      <c r="C40" t="s">
        <v>238</v>
      </c>
      <c r="D40" s="23" t="e">
        <f>VLOOKUP(A40,Valuation_data!$A$3:$D$51,4,FALSE)</f>
        <v>#N/A</v>
      </c>
      <c r="E40" s="23">
        <f>VLOOKUP(A40,'TY20'!$A$9:$F$57,6,FALSE)</f>
        <v>1661998050</v>
      </c>
      <c r="F40" s="23" t="e">
        <f>VLOOKUP(A40,Valuation_data!$A$3:$E$51,5,FALSE)</f>
        <v>#N/A</v>
      </c>
      <c r="G40" s="23" t="e">
        <f t="shared" si="0"/>
        <v>#N/A</v>
      </c>
      <c r="H40" s="23" t="e">
        <f t="shared" si="1"/>
        <v>#N/A</v>
      </c>
    </row>
    <row r="41" spans="1:8" x14ac:dyDescent="0.25">
      <c r="A41">
        <v>51714</v>
      </c>
      <c r="B41" t="s">
        <v>178</v>
      </c>
      <c r="C41" t="s">
        <v>239</v>
      </c>
      <c r="D41" s="23" t="e">
        <f>VLOOKUP(A41,Valuation_data!$A$3:$D$51,4,FALSE)</f>
        <v>#N/A</v>
      </c>
      <c r="E41" s="23">
        <f>VLOOKUP(A41,'TY20'!$A$9:$F$57,6,FALSE)</f>
        <v>3291816860</v>
      </c>
      <c r="F41" s="23" t="e">
        <f>VLOOKUP(A41,Valuation_data!$A$3:$E$51,5,FALSE)</f>
        <v>#N/A</v>
      </c>
      <c r="G41" s="23" t="e">
        <f t="shared" si="0"/>
        <v>#N/A</v>
      </c>
      <c r="H41" s="23" t="e">
        <f t="shared" si="1"/>
        <v>#N/A</v>
      </c>
    </row>
    <row r="42" spans="1:8" x14ac:dyDescent="0.25">
      <c r="A42">
        <v>62026</v>
      </c>
      <c r="B42" t="s">
        <v>180</v>
      </c>
      <c r="C42" t="s">
        <v>240</v>
      </c>
      <c r="D42" s="23" t="e">
        <f>VLOOKUP(A42,Valuation_data!$A$3:$D$51,4,FALSE)</f>
        <v>#N/A</v>
      </c>
      <c r="E42" s="23">
        <f>VLOOKUP(A42,'TY20'!$A$9:$F$57,6,FALSE)</f>
        <v>1802149670</v>
      </c>
      <c r="F42" s="23" t="e">
        <f>VLOOKUP(A42,Valuation_data!$A$3:$E$51,5,FALSE)</f>
        <v>#N/A</v>
      </c>
      <c r="G42" s="23" t="e">
        <f t="shared" si="0"/>
        <v>#N/A</v>
      </c>
      <c r="H42" s="23" t="e">
        <f t="shared" si="1"/>
        <v>#N/A</v>
      </c>
    </row>
    <row r="43" spans="1:8" x14ac:dyDescent="0.25">
      <c r="A43">
        <v>62042</v>
      </c>
      <c r="B43" t="s">
        <v>182</v>
      </c>
      <c r="C43" t="s">
        <v>241</v>
      </c>
      <c r="D43" s="23" t="e">
        <f>VLOOKUP(A43,Valuation_data!$A$3:$D$51,4,FALSE)</f>
        <v>#N/A</v>
      </c>
      <c r="E43" s="23">
        <f>VLOOKUP(A43,'TY20'!$A$9:$F$57,6,FALSE)</f>
        <v>1922090420</v>
      </c>
      <c r="F43" s="23" t="e">
        <f>VLOOKUP(A43,Valuation_data!$A$3:$E$51,5,FALSE)</f>
        <v>#N/A</v>
      </c>
      <c r="G43" s="23" t="e">
        <f t="shared" si="0"/>
        <v>#N/A</v>
      </c>
      <c r="H43" s="23" t="e">
        <f t="shared" si="1"/>
        <v>#N/A</v>
      </c>
    </row>
    <row r="44" spans="1:8" x14ac:dyDescent="0.25">
      <c r="A44">
        <v>62067</v>
      </c>
      <c r="B44" t="s">
        <v>184</v>
      </c>
      <c r="C44" t="s">
        <v>242</v>
      </c>
      <c r="D44" s="23" t="e">
        <f>VLOOKUP(A44,Valuation_data!$A$3:$D$51,4,FALSE)</f>
        <v>#N/A</v>
      </c>
      <c r="E44" s="23">
        <f>VLOOKUP(A44,'TY20'!$A$9:$F$57,6,FALSE)</f>
        <v>1923653320</v>
      </c>
      <c r="F44" s="23" t="e">
        <f>VLOOKUP(A44,Valuation_data!$A$3:$E$51,5,FALSE)</f>
        <v>#N/A</v>
      </c>
      <c r="G44" s="23" t="e">
        <f t="shared" si="0"/>
        <v>#N/A</v>
      </c>
      <c r="H44" s="23" t="e">
        <f t="shared" si="1"/>
        <v>#N/A</v>
      </c>
    </row>
    <row r="45" spans="1:8" x14ac:dyDescent="0.25">
      <c r="A45">
        <v>62109</v>
      </c>
      <c r="B45" t="s">
        <v>186</v>
      </c>
      <c r="C45" t="s">
        <v>243</v>
      </c>
      <c r="D45" s="23" t="e">
        <f>VLOOKUP(A45,Valuation_data!$A$3:$D$51,4,FALSE)</f>
        <v>#N/A</v>
      </c>
      <c r="E45" s="23">
        <f>VLOOKUP(A45,'TY20'!$A$9:$F$57,6,FALSE)</f>
        <v>5477811320</v>
      </c>
      <c r="F45" s="23" t="e">
        <f>VLOOKUP(A45,Valuation_data!$A$3:$E$51,5,FALSE)</f>
        <v>#N/A</v>
      </c>
      <c r="G45" s="23" t="e">
        <f t="shared" si="0"/>
        <v>#N/A</v>
      </c>
      <c r="H45" s="23" t="e">
        <f t="shared" si="1"/>
        <v>#N/A</v>
      </c>
    </row>
    <row r="46" spans="1:8" x14ac:dyDescent="0.25">
      <c r="A46">
        <v>62125</v>
      </c>
      <c r="B46" t="s">
        <v>188</v>
      </c>
      <c r="C46" t="s">
        <v>244</v>
      </c>
      <c r="D46" s="23" t="e">
        <f>VLOOKUP(A46,Valuation_data!$A$3:$D$51,4,FALSE)</f>
        <v>#N/A</v>
      </c>
      <c r="E46" s="23">
        <f>VLOOKUP(A46,'TY20'!$A$9:$F$57,6,FALSE)</f>
        <v>2765719340</v>
      </c>
      <c r="F46" s="23" t="e">
        <f>VLOOKUP(A46,Valuation_data!$A$3:$E$51,5,FALSE)</f>
        <v>#N/A</v>
      </c>
      <c r="G46" s="23" t="e">
        <f t="shared" si="0"/>
        <v>#N/A</v>
      </c>
      <c r="H46" s="23" t="e">
        <f t="shared" si="1"/>
        <v>#N/A</v>
      </c>
    </row>
    <row r="47" spans="1:8" x14ac:dyDescent="0.25">
      <c r="A47">
        <v>62802</v>
      </c>
      <c r="B47" t="s">
        <v>190</v>
      </c>
      <c r="C47" t="s">
        <v>245</v>
      </c>
      <c r="D47" s="23" t="e">
        <f>VLOOKUP(A47,Valuation_data!$A$3:$D$51,4,FALSE)</f>
        <v>#N/A</v>
      </c>
      <c r="E47" s="23">
        <f>VLOOKUP(A47,'TY20'!$A$9:$F$57,6,FALSE)</f>
        <v>924315830</v>
      </c>
      <c r="F47" s="23" t="e">
        <f>VLOOKUP(A47,Valuation_data!$A$3:$E$51,5,FALSE)</f>
        <v>#N/A</v>
      </c>
      <c r="G47" s="23" t="e">
        <f t="shared" si="0"/>
        <v>#N/A</v>
      </c>
      <c r="H47" s="23" t="e">
        <f t="shared" si="1"/>
        <v>#N/A</v>
      </c>
    </row>
    <row r="48" spans="1:8" x14ac:dyDescent="0.25">
      <c r="A48">
        <v>63495</v>
      </c>
      <c r="B48" t="s">
        <v>192</v>
      </c>
      <c r="C48" t="s">
        <v>246</v>
      </c>
      <c r="D48" s="23" t="e">
        <f>VLOOKUP(A48,Valuation_data!$A$3:$D$51,4,FALSE)</f>
        <v>#N/A</v>
      </c>
      <c r="E48" s="23">
        <f>VLOOKUP(A48,'TY20'!$A$9:$F$57,6,FALSE)</f>
        <v>2037537580</v>
      </c>
      <c r="F48" s="23" t="e">
        <f>VLOOKUP(A48,Valuation_data!$A$3:$E$51,5,FALSE)</f>
        <v>#N/A</v>
      </c>
      <c r="G48" s="23" t="e">
        <f t="shared" si="0"/>
        <v>#N/A</v>
      </c>
      <c r="H48" s="23" t="e">
        <f t="shared" si="1"/>
        <v>#N/A</v>
      </c>
    </row>
    <row r="49" spans="1:8" x14ac:dyDescent="0.25">
      <c r="A49">
        <v>63511</v>
      </c>
      <c r="B49" t="s">
        <v>194</v>
      </c>
      <c r="C49" t="s">
        <v>247</v>
      </c>
      <c r="D49" s="23" t="e">
        <f>VLOOKUP(A49,Valuation_data!$A$3:$D$51,4,FALSE)</f>
        <v>#N/A</v>
      </c>
      <c r="E49" s="23">
        <f>VLOOKUP(A49,'TY20'!$A$9:$F$57,6,FALSE)</f>
        <v>9243178520</v>
      </c>
      <c r="F49" s="23" t="e">
        <f>VLOOKUP(A49,Valuation_data!$A$3:$E$51,5,FALSE)</f>
        <v>#N/A</v>
      </c>
      <c r="G49" s="23" t="e">
        <f t="shared" si="0"/>
        <v>#N/A</v>
      </c>
      <c r="H49" s="23" t="e">
        <f t="shared" si="1"/>
        <v>#N/A</v>
      </c>
    </row>
    <row r="50" spans="1:8" x14ac:dyDescent="0.25">
      <c r="A50">
        <v>65227</v>
      </c>
      <c r="B50" t="s">
        <v>196</v>
      </c>
      <c r="C50" t="s">
        <v>248</v>
      </c>
      <c r="D50" s="23" t="e">
        <f>VLOOKUP(A50,Valuation_data!$A$3:$D$51,4,FALSE)</f>
        <v>#N/A</v>
      </c>
      <c r="E50" s="23">
        <f>VLOOKUP(A50,'TY20'!$A$9:$F$57,6,FALSE)</f>
        <v>765348210</v>
      </c>
      <c r="F50" s="23" t="e">
        <f>VLOOKUP(A50,Valuation_data!$A$3:$E$51,5,FALSE)</f>
        <v>#N/A</v>
      </c>
      <c r="G50" s="23" t="e">
        <f t="shared" si="0"/>
        <v>#N/A</v>
      </c>
      <c r="H50" s="23" t="e">
        <f t="shared" si="1"/>
        <v>#N/A</v>
      </c>
    </row>
    <row r="51" spans="1:8" x14ac:dyDescent="0.25">
      <c r="A51">
        <v>65268</v>
      </c>
      <c r="B51" t="s">
        <v>198</v>
      </c>
      <c r="C51" t="s">
        <v>249</v>
      </c>
      <c r="D51" s="23" t="e">
        <f>VLOOKUP(A51,Valuation_data!$A$3:$D$51,4,FALSE)</f>
        <v>#N/A</v>
      </c>
      <c r="E51" s="23">
        <f>VLOOKUP(A51,'TY20'!$A$9:$F$57,6,FALSE)</f>
        <v>2151437250</v>
      </c>
      <c r="F51" s="23" t="e">
        <f>VLOOKUP(A51,Valuation_data!$A$3:$E$51,5,FALSE)</f>
        <v>#N/A</v>
      </c>
      <c r="G51" s="23" t="e">
        <f t="shared" si="0"/>
        <v>#N/A</v>
      </c>
      <c r="H51" s="23" t="e">
        <f t="shared" si="1"/>
        <v>#N/A</v>
      </c>
    </row>
    <row r="52" spans="1:8" x14ac:dyDescent="0.25">
      <c r="A52">
        <v>50765</v>
      </c>
      <c r="B52" t="s">
        <v>250</v>
      </c>
      <c r="D52" s="23" t="e">
        <f>SUM(D3:D51)</f>
        <v>#N/A</v>
      </c>
      <c r="E52" s="23">
        <f>SUM(E3:E51)</f>
        <v>204945732801</v>
      </c>
      <c r="F52" s="23" t="e">
        <f t="shared" ref="F52:H52" si="2">SUM(F3:F51)</f>
        <v>#N/A</v>
      </c>
      <c r="G52" s="23" t="e">
        <f t="shared" si="2"/>
        <v>#N/A</v>
      </c>
      <c r="H52" s="23" t="e">
        <f t="shared" si="2"/>
        <v>#N/A</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222A7-7E33-4DE0-9289-340586BB1280}">
  <dimension ref="A1:AI258"/>
  <sheetViews>
    <sheetView workbookViewId="0">
      <pane ySplit="2" topLeftCell="A30" activePane="bottomLeft" state="frozen"/>
      <selection pane="bottomLeft" activeCell="H56" sqref="H56"/>
    </sheetView>
  </sheetViews>
  <sheetFormatPr defaultRowHeight="15" x14ac:dyDescent="0.25"/>
  <cols>
    <col min="1" max="1" width="5" bestFit="1" customWidth="1"/>
    <col min="2" max="2" width="16" bestFit="1" customWidth="1"/>
    <col min="3" max="3" width="18.42578125" bestFit="1" customWidth="1"/>
    <col min="4" max="4" width="18" bestFit="1" customWidth="1"/>
    <col min="5" max="7" width="13.42578125" bestFit="1" customWidth="1"/>
    <col min="8" max="13" width="18.28515625" bestFit="1" customWidth="1"/>
    <col min="14" max="18" width="20.85546875" bestFit="1" customWidth="1"/>
    <col min="19" max="19" width="13.140625" bestFit="1" customWidth="1"/>
    <col min="20" max="20" width="22.140625" bestFit="1" customWidth="1"/>
    <col min="21" max="21" width="22.5703125" bestFit="1" customWidth="1"/>
    <col min="22" max="24" width="18.7109375" bestFit="1" customWidth="1"/>
    <col min="25" max="30" width="23.42578125" bestFit="1" customWidth="1"/>
    <col min="31" max="35" width="25" bestFit="1" customWidth="1"/>
  </cols>
  <sheetData>
    <row r="1" spans="1:35" x14ac:dyDescent="0.25">
      <c r="S1" s="36">
        <v>1</v>
      </c>
      <c r="T1" s="36">
        <v>2</v>
      </c>
      <c r="U1" s="36">
        <v>3</v>
      </c>
      <c r="V1" s="36">
        <v>4</v>
      </c>
      <c r="W1" s="36">
        <v>5</v>
      </c>
      <c r="X1" s="36">
        <v>6</v>
      </c>
      <c r="Y1" s="36">
        <v>7</v>
      </c>
      <c r="Z1" s="36">
        <v>8</v>
      </c>
      <c r="AA1" s="36">
        <v>9</v>
      </c>
      <c r="AB1" s="36">
        <v>10</v>
      </c>
      <c r="AC1" s="36">
        <v>11</v>
      </c>
      <c r="AD1" s="36">
        <v>12</v>
      </c>
      <c r="AE1" s="36">
        <v>13</v>
      </c>
      <c r="AF1" s="36">
        <v>14</v>
      </c>
      <c r="AG1" s="36">
        <v>15</v>
      </c>
      <c r="AH1" s="36">
        <v>16</v>
      </c>
      <c r="AI1" s="36">
        <v>17</v>
      </c>
    </row>
    <row r="2" spans="1:35" x14ac:dyDescent="0.25">
      <c r="A2" t="s">
        <v>772</v>
      </c>
      <c r="B2" t="s">
        <v>773</v>
      </c>
      <c r="C2" t="s">
        <v>774</v>
      </c>
      <c r="D2" t="s">
        <v>775</v>
      </c>
      <c r="E2" t="s">
        <v>776</v>
      </c>
      <c r="F2" t="s">
        <v>777</v>
      </c>
      <c r="G2" t="s">
        <v>778</v>
      </c>
      <c r="H2" t="s">
        <v>779</v>
      </c>
      <c r="I2" t="s">
        <v>780</v>
      </c>
      <c r="J2" t="s">
        <v>781</v>
      </c>
      <c r="K2" t="s">
        <v>782</v>
      </c>
      <c r="L2" t="s">
        <v>783</v>
      </c>
      <c r="M2" t="s">
        <v>784</v>
      </c>
      <c r="N2" t="s">
        <v>785</v>
      </c>
      <c r="O2" t="s">
        <v>786</v>
      </c>
      <c r="P2" t="s">
        <v>787</v>
      </c>
      <c r="Q2" t="s">
        <v>788</v>
      </c>
      <c r="R2" t="s">
        <v>789</v>
      </c>
    </row>
    <row r="3" spans="1:35" x14ac:dyDescent="0.25">
      <c r="A3" s="37">
        <v>2022</v>
      </c>
      <c r="B3">
        <v>50773</v>
      </c>
      <c r="C3" s="11">
        <v>370.68813899999998</v>
      </c>
      <c r="D3" s="11">
        <v>81.497804000000002</v>
      </c>
      <c r="E3" s="11">
        <v>0</v>
      </c>
      <c r="F3" s="11">
        <v>0</v>
      </c>
      <c r="G3" s="11">
        <v>0</v>
      </c>
      <c r="H3" s="11">
        <v>0</v>
      </c>
      <c r="I3" s="11">
        <v>60.471091999999999</v>
      </c>
      <c r="J3" s="11">
        <v>1.20739</v>
      </c>
      <c r="K3" s="11">
        <v>0.14000000000000001</v>
      </c>
      <c r="L3" s="11">
        <v>4</v>
      </c>
      <c r="M3" s="11">
        <v>2</v>
      </c>
      <c r="N3" s="11">
        <v>132.61019199999998</v>
      </c>
      <c r="O3" s="11">
        <v>46.151367999999998</v>
      </c>
      <c r="P3" s="11">
        <v>9.653257</v>
      </c>
      <c r="Q3" s="11">
        <v>111.744435</v>
      </c>
      <c r="R3" s="11">
        <v>0.925925</v>
      </c>
      <c r="S3" t="s">
        <v>0</v>
      </c>
      <c r="T3" t="s">
        <v>790</v>
      </c>
      <c r="U3" t="s">
        <v>791</v>
      </c>
      <c r="V3" t="s">
        <v>792</v>
      </c>
      <c r="W3" t="s">
        <v>793</v>
      </c>
      <c r="X3" t="s">
        <v>794</v>
      </c>
      <c r="Y3" t="s">
        <v>795</v>
      </c>
      <c r="Z3" t="s">
        <v>796</v>
      </c>
      <c r="AA3" t="s">
        <v>797</v>
      </c>
      <c r="AB3" t="s">
        <v>798</v>
      </c>
      <c r="AC3" t="s">
        <v>799</v>
      </c>
      <c r="AD3" t="s">
        <v>800</v>
      </c>
      <c r="AE3" t="s">
        <v>801</v>
      </c>
      <c r="AF3" t="s">
        <v>802</v>
      </c>
      <c r="AG3" t="s">
        <v>803</v>
      </c>
      <c r="AH3" t="s">
        <v>804</v>
      </c>
      <c r="AI3" t="s">
        <v>805</v>
      </c>
    </row>
    <row r="4" spans="1:35" x14ac:dyDescent="0.25">
      <c r="A4" s="37">
        <v>2022</v>
      </c>
      <c r="B4">
        <v>50773</v>
      </c>
      <c r="C4" s="11">
        <v>455.94701199999997</v>
      </c>
      <c r="D4" s="11">
        <v>115.037766</v>
      </c>
      <c r="E4" s="11">
        <v>1</v>
      </c>
      <c r="F4" s="11">
        <v>0</v>
      </c>
      <c r="G4" s="11">
        <v>0</v>
      </c>
      <c r="H4" s="11">
        <v>0</v>
      </c>
      <c r="I4" s="11">
        <v>76.127397000000002</v>
      </c>
      <c r="J4" s="11">
        <v>6</v>
      </c>
      <c r="K4" s="11">
        <v>1</v>
      </c>
      <c r="L4" s="11">
        <v>0.153699</v>
      </c>
      <c r="M4" s="11">
        <v>5.2709289999999998</v>
      </c>
      <c r="N4" s="11">
        <v>164.298641</v>
      </c>
      <c r="O4" s="11">
        <v>60.490579999999994</v>
      </c>
      <c r="P4" s="11">
        <v>1.2905179999999998</v>
      </c>
      <c r="Q4" s="11">
        <v>186.48303899999999</v>
      </c>
      <c r="R4" s="11">
        <v>1.594657</v>
      </c>
      <c r="S4" s="38" t="s">
        <v>101</v>
      </c>
      <c r="T4" s="1">
        <v>930.8405459999999</v>
      </c>
      <c r="U4" s="1">
        <v>203.49473900000001</v>
      </c>
      <c r="V4" s="1">
        <v>1</v>
      </c>
      <c r="W4" s="1">
        <v>0</v>
      </c>
      <c r="X4" s="1">
        <v>0</v>
      </c>
      <c r="Y4" s="1">
        <v>0</v>
      </c>
      <c r="Z4" s="1">
        <v>149.57657</v>
      </c>
      <c r="AA4" s="1">
        <v>7.3704289999999997</v>
      </c>
      <c r="AB4" s="1">
        <v>1.1400000000000001</v>
      </c>
      <c r="AC4" s="1">
        <v>4.1536989999999996</v>
      </c>
      <c r="AD4" s="1">
        <v>8.4109289999999994</v>
      </c>
      <c r="AE4" s="1">
        <v>325.10878399999996</v>
      </c>
      <c r="AF4" s="1">
        <v>108.60028299999999</v>
      </c>
      <c r="AG4" s="1">
        <v>19.739010999999998</v>
      </c>
      <c r="AH4" s="1">
        <v>308.44359699999995</v>
      </c>
      <c r="AI4" s="1">
        <v>15.025414</v>
      </c>
    </row>
    <row r="5" spans="1:35" x14ac:dyDescent="0.25">
      <c r="A5" s="37">
        <v>2022</v>
      </c>
      <c r="B5">
        <v>50773</v>
      </c>
      <c r="C5" s="11">
        <v>53.262465999999996</v>
      </c>
      <c r="D5" s="11">
        <v>6.9591689999999993</v>
      </c>
      <c r="E5" s="11">
        <v>0</v>
      </c>
      <c r="F5" s="11">
        <v>0</v>
      </c>
      <c r="G5" s="11">
        <v>0</v>
      </c>
      <c r="H5" s="11">
        <v>0</v>
      </c>
      <c r="I5" s="11">
        <v>9.3188180000000003</v>
      </c>
      <c r="J5" s="11">
        <v>0.14000000000000001</v>
      </c>
      <c r="K5" s="11">
        <v>0</v>
      </c>
      <c r="L5" s="11">
        <v>0</v>
      </c>
      <c r="M5" s="11">
        <v>1.1400000000000001</v>
      </c>
      <c r="N5" s="11">
        <v>15.386415999999999</v>
      </c>
      <c r="O5" s="11">
        <v>1.050003</v>
      </c>
      <c r="P5" s="11">
        <v>8.7952359999999992</v>
      </c>
      <c r="Q5" s="11">
        <v>9.1356549999999999</v>
      </c>
      <c r="R5" s="11">
        <v>4.8970880000000001</v>
      </c>
      <c r="S5" s="38" t="s">
        <v>103</v>
      </c>
      <c r="T5" s="1">
        <v>592.72147400000006</v>
      </c>
      <c r="U5" s="1">
        <v>150.02125599999999</v>
      </c>
      <c r="V5" s="1">
        <v>0</v>
      </c>
      <c r="W5" s="1">
        <v>0</v>
      </c>
      <c r="X5" s="1">
        <v>0</v>
      </c>
      <c r="Y5" s="1">
        <v>2.061925</v>
      </c>
      <c r="Z5" s="1">
        <v>86.585172</v>
      </c>
      <c r="AA5" s="1">
        <v>1.56</v>
      </c>
      <c r="AB5" s="1">
        <v>0</v>
      </c>
      <c r="AC5" s="1">
        <v>4.6066660000000006</v>
      </c>
      <c r="AD5" s="1">
        <v>5.2329179999999997</v>
      </c>
      <c r="AE5" s="1">
        <v>196.03726399999999</v>
      </c>
      <c r="AF5" s="1">
        <v>87.174734000000001</v>
      </c>
      <c r="AG5" s="1">
        <v>0</v>
      </c>
      <c r="AH5" s="1">
        <v>189.48335400000002</v>
      </c>
      <c r="AI5" s="1">
        <v>0</v>
      </c>
    </row>
    <row r="6" spans="1:35" x14ac:dyDescent="0.25">
      <c r="A6" s="37">
        <v>2022</v>
      </c>
      <c r="B6">
        <v>50773</v>
      </c>
      <c r="C6" s="11">
        <v>27.469574999999999</v>
      </c>
      <c r="D6" s="11">
        <v>0</v>
      </c>
      <c r="E6" s="11">
        <v>0</v>
      </c>
      <c r="F6" s="11">
        <v>0</v>
      </c>
      <c r="G6" s="11">
        <v>0</v>
      </c>
      <c r="H6" s="11">
        <v>0</v>
      </c>
      <c r="I6" s="11">
        <v>2.52</v>
      </c>
      <c r="J6" s="11">
        <v>2.3039E-2</v>
      </c>
      <c r="K6" s="11">
        <v>0</v>
      </c>
      <c r="L6" s="11">
        <v>0</v>
      </c>
      <c r="M6" s="11">
        <v>0</v>
      </c>
      <c r="N6" s="11">
        <v>8.4336570000000002</v>
      </c>
      <c r="O6" s="11">
        <v>0.50000100000000003</v>
      </c>
      <c r="P6" s="11">
        <v>0</v>
      </c>
      <c r="Q6" s="11">
        <v>0</v>
      </c>
      <c r="R6" s="11">
        <v>4.1220919999999994</v>
      </c>
      <c r="S6" s="38" t="s">
        <v>105</v>
      </c>
      <c r="T6" s="1">
        <v>678.78378799999996</v>
      </c>
      <c r="U6" s="1">
        <v>233.57389899999998</v>
      </c>
      <c r="V6" s="1">
        <v>0</v>
      </c>
      <c r="W6" s="1">
        <v>0</v>
      </c>
      <c r="X6" s="1">
        <v>0</v>
      </c>
      <c r="Y6" s="1">
        <v>0.03</v>
      </c>
      <c r="Z6" s="1">
        <v>133.11366299999997</v>
      </c>
      <c r="AA6" s="1">
        <v>18.439377</v>
      </c>
      <c r="AB6" s="1">
        <v>1.35955</v>
      </c>
      <c r="AC6" s="1">
        <v>1.247093</v>
      </c>
      <c r="AD6" s="1">
        <v>17.676752</v>
      </c>
      <c r="AE6" s="1">
        <v>228.28345999999999</v>
      </c>
      <c r="AF6" s="1">
        <v>73.987215999999989</v>
      </c>
      <c r="AG6" s="1">
        <v>0</v>
      </c>
      <c r="AH6" s="1">
        <v>200.89753899999999</v>
      </c>
      <c r="AI6" s="1">
        <v>0</v>
      </c>
    </row>
    <row r="7" spans="1:35" x14ac:dyDescent="0.25">
      <c r="A7" s="37">
        <v>2022</v>
      </c>
      <c r="B7">
        <v>50773</v>
      </c>
      <c r="C7" s="11">
        <v>18.853354</v>
      </c>
      <c r="D7" s="11">
        <v>0</v>
      </c>
      <c r="E7" s="11">
        <v>0</v>
      </c>
      <c r="F7" s="11">
        <v>0</v>
      </c>
      <c r="G7" s="11">
        <v>0</v>
      </c>
      <c r="H7" s="11">
        <v>0</v>
      </c>
      <c r="I7" s="11">
        <v>0.71926299999999999</v>
      </c>
      <c r="J7" s="11">
        <v>0</v>
      </c>
      <c r="K7" s="11">
        <v>0</v>
      </c>
      <c r="L7" s="11">
        <v>0</v>
      </c>
      <c r="M7" s="11">
        <v>0</v>
      </c>
      <c r="N7" s="11">
        <v>4.3798779999999997</v>
      </c>
      <c r="O7" s="11">
        <v>0</v>
      </c>
      <c r="P7" s="11">
        <v>0</v>
      </c>
      <c r="Q7" s="11">
        <v>1.080468</v>
      </c>
      <c r="R7" s="11">
        <v>1.9689939999999999</v>
      </c>
      <c r="S7" s="38" t="s">
        <v>107</v>
      </c>
      <c r="T7" s="1">
        <v>443.57848999999999</v>
      </c>
      <c r="U7" s="1">
        <v>156.83333100000002</v>
      </c>
      <c r="V7" s="1">
        <v>0</v>
      </c>
      <c r="W7" s="1">
        <v>0.13</v>
      </c>
      <c r="X7" s="1">
        <v>0.13</v>
      </c>
      <c r="Y7" s="1">
        <v>9.8920999999999995E-2</v>
      </c>
      <c r="Z7" s="1">
        <v>112.08581700000001</v>
      </c>
      <c r="AA7" s="1">
        <v>4.0654450000000004</v>
      </c>
      <c r="AB7" s="1">
        <v>0</v>
      </c>
      <c r="AC7" s="1">
        <v>2.1460669999999999</v>
      </c>
      <c r="AD7" s="1">
        <v>4.2091640000000003</v>
      </c>
      <c r="AE7" s="1">
        <v>165.23842400000001</v>
      </c>
      <c r="AF7" s="1">
        <v>70.726689999999991</v>
      </c>
      <c r="AG7" s="1">
        <v>0</v>
      </c>
      <c r="AH7" s="1">
        <v>150.44100499999999</v>
      </c>
      <c r="AI7" s="1">
        <v>0</v>
      </c>
    </row>
    <row r="8" spans="1:35" x14ac:dyDescent="0.25">
      <c r="A8" s="37">
        <v>2022</v>
      </c>
      <c r="B8">
        <v>50773</v>
      </c>
      <c r="C8" s="11">
        <v>4.62</v>
      </c>
      <c r="D8" s="11">
        <v>0</v>
      </c>
      <c r="E8" s="11">
        <v>0</v>
      </c>
      <c r="F8" s="11">
        <v>0</v>
      </c>
      <c r="G8" s="11">
        <v>0</v>
      </c>
      <c r="H8" s="11">
        <v>0</v>
      </c>
      <c r="I8" s="11">
        <v>0.42</v>
      </c>
      <c r="J8" s="11">
        <v>0</v>
      </c>
      <c r="K8" s="11">
        <v>0</v>
      </c>
      <c r="L8" s="11">
        <v>0</v>
      </c>
      <c r="M8" s="11">
        <v>0</v>
      </c>
      <c r="N8" s="11">
        <v>0</v>
      </c>
      <c r="O8" s="11">
        <v>0.408331</v>
      </c>
      <c r="P8" s="11">
        <v>0</v>
      </c>
      <c r="Q8" s="11">
        <v>0</v>
      </c>
      <c r="R8" s="11">
        <v>1.5166579999999998</v>
      </c>
      <c r="S8" s="38" t="s">
        <v>109</v>
      </c>
      <c r="T8" s="1">
        <v>3928.9351130000005</v>
      </c>
      <c r="U8" s="1">
        <v>1222.00891</v>
      </c>
      <c r="V8" s="1">
        <v>4.9871650000000001</v>
      </c>
      <c r="W8" s="1">
        <v>63.627516999999997</v>
      </c>
      <c r="X8" s="1">
        <v>14.133325999999997</v>
      </c>
      <c r="Y8" s="1">
        <v>6.7526589999999995</v>
      </c>
      <c r="Z8" s="1">
        <v>390.51146799999998</v>
      </c>
      <c r="AA8" s="1">
        <v>28.296337000000001</v>
      </c>
      <c r="AB8" s="1">
        <v>0.61266599999999993</v>
      </c>
      <c r="AC8" s="1">
        <v>18.572634999999998</v>
      </c>
      <c r="AD8" s="1">
        <v>66.750410000000002</v>
      </c>
      <c r="AE8" s="1">
        <v>1206.772451</v>
      </c>
      <c r="AF8" s="1">
        <v>773.97332099999994</v>
      </c>
      <c r="AG8" s="1">
        <v>146.06397200000001</v>
      </c>
      <c r="AH8" s="1">
        <v>583.60519099999999</v>
      </c>
      <c r="AI8" s="1">
        <v>152.30030799999997</v>
      </c>
    </row>
    <row r="9" spans="1:35" x14ac:dyDescent="0.25">
      <c r="A9" s="37">
        <v>2022</v>
      </c>
      <c r="B9">
        <v>50799</v>
      </c>
      <c r="C9" s="11">
        <v>222.40491800000001</v>
      </c>
      <c r="D9" s="11">
        <v>51.585586999999997</v>
      </c>
      <c r="E9" s="11">
        <v>0</v>
      </c>
      <c r="F9" s="11">
        <v>0</v>
      </c>
      <c r="G9" s="11">
        <v>0</v>
      </c>
      <c r="H9" s="11">
        <v>1</v>
      </c>
      <c r="I9" s="11">
        <v>37.184694</v>
      </c>
      <c r="J9" s="11">
        <v>0</v>
      </c>
      <c r="K9" s="11">
        <v>0</v>
      </c>
      <c r="L9" s="11">
        <v>1</v>
      </c>
      <c r="M9" s="11">
        <v>0.14000000000000001</v>
      </c>
      <c r="N9" s="11">
        <v>60.535394999999994</v>
      </c>
      <c r="O9" s="11">
        <v>36.414204999999995</v>
      </c>
      <c r="P9" s="11">
        <v>0</v>
      </c>
      <c r="Q9" s="11">
        <v>109.620299</v>
      </c>
      <c r="R9" s="11">
        <v>0</v>
      </c>
      <c r="S9" s="38" t="s">
        <v>111</v>
      </c>
      <c r="T9" s="1">
        <v>304.15774199999998</v>
      </c>
      <c r="U9" s="1">
        <v>121.42729599999998</v>
      </c>
      <c r="V9" s="1">
        <v>0</v>
      </c>
      <c r="W9" s="1">
        <v>0</v>
      </c>
      <c r="X9" s="1">
        <v>0</v>
      </c>
      <c r="Y9" s="1">
        <v>0</v>
      </c>
      <c r="Z9" s="1">
        <v>44.305865999999995</v>
      </c>
      <c r="AA9" s="1">
        <v>1</v>
      </c>
      <c r="AB9" s="1">
        <v>0</v>
      </c>
      <c r="AC9" s="1">
        <v>0.61452499999999999</v>
      </c>
      <c r="AD9" s="1">
        <v>3</v>
      </c>
      <c r="AE9" s="1">
        <v>125.78294</v>
      </c>
      <c r="AF9" s="1">
        <v>43.050514999999997</v>
      </c>
      <c r="AG9" s="1">
        <v>0</v>
      </c>
      <c r="AH9" s="1">
        <v>100.78754699999999</v>
      </c>
      <c r="AI9" s="1">
        <v>0</v>
      </c>
    </row>
    <row r="10" spans="1:35" x14ac:dyDescent="0.25">
      <c r="A10" s="37">
        <v>2022</v>
      </c>
      <c r="B10">
        <v>50799</v>
      </c>
      <c r="C10" s="11">
        <v>10.610519999999999</v>
      </c>
      <c r="D10" s="11">
        <v>0</v>
      </c>
      <c r="E10" s="11">
        <v>0</v>
      </c>
      <c r="F10" s="11">
        <v>0</v>
      </c>
      <c r="G10" s="11">
        <v>0</v>
      </c>
      <c r="H10" s="11">
        <v>0.14000000000000001</v>
      </c>
      <c r="I10" s="11">
        <v>0.56000000000000005</v>
      </c>
      <c r="J10" s="11">
        <v>0</v>
      </c>
      <c r="K10" s="11">
        <v>0</v>
      </c>
      <c r="L10" s="11">
        <v>0.14000000000000001</v>
      </c>
      <c r="M10" s="11">
        <v>0.14000000000000001</v>
      </c>
      <c r="N10" s="11">
        <v>4.9958679999999998</v>
      </c>
      <c r="O10" s="11">
        <v>4.4137050000000002</v>
      </c>
      <c r="P10" s="11">
        <v>0</v>
      </c>
      <c r="Q10" s="11">
        <v>0</v>
      </c>
      <c r="R10" s="11">
        <v>0</v>
      </c>
      <c r="S10" s="38" t="s">
        <v>113</v>
      </c>
      <c r="T10" s="1">
        <v>361.20643200000001</v>
      </c>
      <c r="U10" s="1">
        <v>58.887223999999996</v>
      </c>
      <c r="V10" s="1">
        <v>0</v>
      </c>
      <c r="W10" s="1">
        <v>0</v>
      </c>
      <c r="X10" s="1">
        <v>0</v>
      </c>
      <c r="Y10" s="1">
        <v>0</v>
      </c>
      <c r="Z10" s="1">
        <v>69.072625000000002</v>
      </c>
      <c r="AA10" s="1">
        <v>5.0530729999999995</v>
      </c>
      <c r="AB10" s="1">
        <v>0.5</v>
      </c>
      <c r="AC10" s="1">
        <v>5.0828030000000002</v>
      </c>
      <c r="AD10" s="1">
        <v>11.611732</v>
      </c>
      <c r="AE10" s="1">
        <v>165.10646999999997</v>
      </c>
      <c r="AF10" s="1">
        <v>138.12815700000002</v>
      </c>
      <c r="AG10" s="1">
        <v>1.7437149999999999</v>
      </c>
      <c r="AH10" s="1">
        <v>27.974053000000001</v>
      </c>
      <c r="AI10" s="1">
        <v>0</v>
      </c>
    </row>
    <row r="11" spans="1:35" x14ac:dyDescent="0.25">
      <c r="A11" s="37">
        <v>2022</v>
      </c>
      <c r="B11">
        <v>50799</v>
      </c>
      <c r="C11" s="11">
        <v>21.158255999999998</v>
      </c>
      <c r="D11" s="11">
        <v>1.418361</v>
      </c>
      <c r="E11" s="11">
        <v>0</v>
      </c>
      <c r="F11" s="11">
        <v>0</v>
      </c>
      <c r="G11" s="11">
        <v>0</v>
      </c>
      <c r="H11" s="11">
        <v>0.56000000000000005</v>
      </c>
      <c r="I11" s="11">
        <v>0.97342099999999998</v>
      </c>
      <c r="J11" s="11">
        <v>0.14000000000000001</v>
      </c>
      <c r="K11" s="11">
        <v>0</v>
      </c>
      <c r="L11" s="11">
        <v>0</v>
      </c>
      <c r="M11" s="11">
        <v>0</v>
      </c>
      <c r="N11" s="11">
        <v>5.6495790000000001</v>
      </c>
      <c r="O11" s="11">
        <v>5.1139299999999999</v>
      </c>
      <c r="P11" s="11">
        <v>0</v>
      </c>
      <c r="Q11" s="11">
        <v>0</v>
      </c>
      <c r="R11" s="11">
        <v>0</v>
      </c>
      <c r="S11" s="38" t="s">
        <v>115</v>
      </c>
      <c r="T11" s="1">
        <v>567.35537599999998</v>
      </c>
      <c r="U11" s="1">
        <v>0</v>
      </c>
      <c r="V11" s="1">
        <v>0</v>
      </c>
      <c r="W11" s="1">
        <v>0</v>
      </c>
      <c r="X11" s="1">
        <v>0</v>
      </c>
      <c r="Y11" s="1">
        <v>0.48827399999999999</v>
      </c>
      <c r="Z11" s="1">
        <v>77.078153000000015</v>
      </c>
      <c r="AA11" s="1">
        <v>5.7282739999999999</v>
      </c>
      <c r="AB11" s="1">
        <v>2.13</v>
      </c>
      <c r="AC11" s="1">
        <v>2.5</v>
      </c>
      <c r="AD11" s="1">
        <v>11.877378999999998</v>
      </c>
      <c r="AE11" s="1">
        <v>0</v>
      </c>
      <c r="AF11" s="1">
        <v>0</v>
      </c>
      <c r="AG11" s="1">
        <v>0</v>
      </c>
      <c r="AH11" s="1">
        <v>0</v>
      </c>
      <c r="AI11" s="1">
        <v>0</v>
      </c>
    </row>
    <row r="12" spans="1:35" x14ac:dyDescent="0.25">
      <c r="A12" s="37">
        <v>2022</v>
      </c>
      <c r="B12">
        <v>50799</v>
      </c>
      <c r="C12" s="11">
        <v>54.467952999999994</v>
      </c>
      <c r="D12" s="11">
        <v>8.2718410000000002</v>
      </c>
      <c r="E12" s="11">
        <v>0</v>
      </c>
      <c r="F12" s="11">
        <v>0</v>
      </c>
      <c r="G12" s="11">
        <v>0</v>
      </c>
      <c r="H12" s="11">
        <v>0.361925</v>
      </c>
      <c r="I12" s="11">
        <v>5.9710209999999995</v>
      </c>
      <c r="J12" s="11">
        <v>0.42</v>
      </c>
      <c r="K12" s="11">
        <v>0</v>
      </c>
      <c r="L12" s="11">
        <v>0</v>
      </c>
      <c r="M12" s="11">
        <v>4.6251999999999995E-2</v>
      </c>
      <c r="N12" s="11">
        <v>33.988467</v>
      </c>
      <c r="O12" s="11">
        <v>0.14000000000000001</v>
      </c>
      <c r="P12" s="11">
        <v>0</v>
      </c>
      <c r="Q12" s="11">
        <v>1.7926739999999999</v>
      </c>
      <c r="R12" s="11">
        <v>0</v>
      </c>
      <c r="S12" s="38" t="s">
        <v>117</v>
      </c>
      <c r="T12" s="1">
        <v>974.76909300000011</v>
      </c>
      <c r="U12" s="1">
        <v>198.38160999999999</v>
      </c>
      <c r="V12" s="1">
        <v>0</v>
      </c>
      <c r="W12" s="1">
        <v>1.349264</v>
      </c>
      <c r="X12" s="1">
        <v>0</v>
      </c>
      <c r="Y12" s="1">
        <v>1</v>
      </c>
      <c r="Z12" s="1">
        <v>226.78156799999999</v>
      </c>
      <c r="AA12" s="1">
        <v>13.499998999999999</v>
      </c>
      <c r="AB12" s="1">
        <v>2.2000000000000002</v>
      </c>
      <c r="AC12" s="1">
        <v>2.2200000000000002</v>
      </c>
      <c r="AD12" s="1">
        <v>18.456630000000001</v>
      </c>
      <c r="AE12" s="1">
        <v>309.67811100000006</v>
      </c>
      <c r="AF12" s="1">
        <v>151.832414</v>
      </c>
      <c r="AG12" s="1">
        <v>28.834354999999999</v>
      </c>
      <c r="AH12" s="1">
        <v>276.16173300000003</v>
      </c>
      <c r="AI12" s="1">
        <v>11.17539</v>
      </c>
    </row>
    <row r="13" spans="1:35" x14ac:dyDescent="0.25">
      <c r="A13" s="37">
        <v>2022</v>
      </c>
      <c r="B13">
        <v>50799</v>
      </c>
      <c r="C13" s="11">
        <v>54.622020999999997</v>
      </c>
      <c r="D13" s="11">
        <v>8.4150739999999988</v>
      </c>
      <c r="E13" s="11">
        <v>0</v>
      </c>
      <c r="F13" s="11">
        <v>0</v>
      </c>
      <c r="G13" s="11">
        <v>0</v>
      </c>
      <c r="H13" s="11">
        <v>0</v>
      </c>
      <c r="I13" s="11">
        <v>7.3788179999999999</v>
      </c>
      <c r="J13" s="11">
        <v>0</v>
      </c>
      <c r="K13" s="11">
        <v>0</v>
      </c>
      <c r="L13" s="11">
        <v>0.70000000000000007</v>
      </c>
      <c r="M13" s="11">
        <v>0.14000000000000001</v>
      </c>
      <c r="N13" s="11">
        <v>38.539620999999997</v>
      </c>
      <c r="O13" s="11">
        <v>0</v>
      </c>
      <c r="P13" s="11">
        <v>0</v>
      </c>
      <c r="Q13" s="11">
        <v>0.81157000000000001</v>
      </c>
      <c r="R13" s="11">
        <v>0</v>
      </c>
      <c r="S13" s="38" t="s">
        <v>119</v>
      </c>
      <c r="T13" s="1">
        <v>801.387564</v>
      </c>
      <c r="U13" s="1">
        <v>122.900149</v>
      </c>
      <c r="V13" s="1">
        <v>0</v>
      </c>
      <c r="W13" s="1">
        <v>0.85440399999999994</v>
      </c>
      <c r="X13" s="1">
        <v>0.13</v>
      </c>
      <c r="Y13" s="1">
        <v>0.30285699999999999</v>
      </c>
      <c r="Z13" s="1">
        <v>135.930633</v>
      </c>
      <c r="AA13" s="1">
        <v>8.3448360000000008</v>
      </c>
      <c r="AB13" s="1">
        <v>0.5</v>
      </c>
      <c r="AC13" s="1">
        <v>4.6292609999999996</v>
      </c>
      <c r="AD13" s="1">
        <v>28.628235999999998</v>
      </c>
      <c r="AE13" s="1">
        <v>379.81982800000003</v>
      </c>
      <c r="AF13" s="1">
        <v>103.49391900000001</v>
      </c>
      <c r="AG13" s="1">
        <v>45.688851999999997</v>
      </c>
      <c r="AH13" s="1">
        <v>138.03783799999999</v>
      </c>
      <c r="AI13" s="1">
        <v>0</v>
      </c>
    </row>
    <row r="14" spans="1:35" x14ac:dyDescent="0.25">
      <c r="A14" s="37">
        <v>2022</v>
      </c>
      <c r="B14">
        <v>50799</v>
      </c>
      <c r="C14" s="11">
        <v>229.45780600000001</v>
      </c>
      <c r="D14" s="11">
        <v>80.330393000000001</v>
      </c>
      <c r="E14" s="11">
        <v>0</v>
      </c>
      <c r="F14" s="11">
        <v>0</v>
      </c>
      <c r="G14" s="11">
        <v>0</v>
      </c>
      <c r="H14" s="11">
        <v>0</v>
      </c>
      <c r="I14" s="11">
        <v>34.517218</v>
      </c>
      <c r="J14" s="11">
        <v>1</v>
      </c>
      <c r="K14" s="11">
        <v>0</v>
      </c>
      <c r="L14" s="11">
        <v>2.7666659999999998</v>
      </c>
      <c r="M14" s="11">
        <v>4.7666659999999998</v>
      </c>
      <c r="N14" s="11">
        <v>52.328333999999998</v>
      </c>
      <c r="O14" s="11">
        <v>41.092894000000001</v>
      </c>
      <c r="P14" s="11">
        <v>0</v>
      </c>
      <c r="Q14" s="11">
        <v>77.258810999999994</v>
      </c>
      <c r="R14" s="11">
        <v>0</v>
      </c>
      <c r="S14" s="38" t="s">
        <v>121</v>
      </c>
      <c r="T14" s="1">
        <v>1439.049215</v>
      </c>
      <c r="U14" s="1">
        <v>333.24773599999997</v>
      </c>
      <c r="V14" s="1">
        <v>0</v>
      </c>
      <c r="W14" s="1">
        <v>30.965783999999999</v>
      </c>
      <c r="X14" s="1">
        <v>0</v>
      </c>
      <c r="Y14" s="1">
        <v>1.3</v>
      </c>
      <c r="Z14" s="1">
        <v>208.74644799999999</v>
      </c>
      <c r="AA14" s="1">
        <v>10.659417999999999</v>
      </c>
      <c r="AB14" s="1">
        <v>0</v>
      </c>
      <c r="AC14" s="1">
        <v>8</v>
      </c>
      <c r="AD14" s="1">
        <v>19.849564999999998</v>
      </c>
      <c r="AE14" s="1">
        <v>389.68927299999996</v>
      </c>
      <c r="AF14" s="1">
        <v>243.201075</v>
      </c>
      <c r="AG14" s="1">
        <v>0</v>
      </c>
      <c r="AH14" s="1">
        <v>471.82986499999998</v>
      </c>
      <c r="AI14" s="1">
        <v>0</v>
      </c>
    </row>
    <row r="15" spans="1:35" x14ac:dyDescent="0.25">
      <c r="A15" s="37">
        <v>2022</v>
      </c>
      <c r="B15">
        <v>50815</v>
      </c>
      <c r="C15" s="11">
        <v>10.873678999999999</v>
      </c>
      <c r="D15" s="11">
        <v>0</v>
      </c>
      <c r="E15" s="11">
        <v>0</v>
      </c>
      <c r="F15" s="11">
        <v>0</v>
      </c>
      <c r="G15" s="11">
        <v>0</v>
      </c>
      <c r="H15" s="11">
        <v>0.03</v>
      </c>
      <c r="I15" s="11">
        <v>0.97</v>
      </c>
      <c r="J15" s="11">
        <v>0.190888</v>
      </c>
      <c r="K15" s="11">
        <v>0</v>
      </c>
      <c r="L15" s="11">
        <v>0.10709299999999999</v>
      </c>
      <c r="M15" s="11">
        <v>0.102907</v>
      </c>
      <c r="N15" s="11">
        <v>0</v>
      </c>
      <c r="O15" s="11">
        <v>0</v>
      </c>
      <c r="P15" s="11">
        <v>0</v>
      </c>
      <c r="Q15" s="11">
        <v>0</v>
      </c>
      <c r="R15" s="11">
        <v>0</v>
      </c>
      <c r="S15" s="38" t="s">
        <v>123</v>
      </c>
      <c r="T15" s="1">
        <v>744.34846500000003</v>
      </c>
      <c r="U15" s="1">
        <v>164.73816099999999</v>
      </c>
      <c r="V15" s="1">
        <v>0</v>
      </c>
      <c r="W15" s="1">
        <v>0</v>
      </c>
      <c r="X15" s="1">
        <v>0</v>
      </c>
      <c r="Y15" s="1">
        <v>0</v>
      </c>
      <c r="Z15" s="1">
        <v>139.526453</v>
      </c>
      <c r="AA15" s="1">
        <v>2.6832560000000001</v>
      </c>
      <c r="AB15" s="1">
        <v>0.96098299999999992</v>
      </c>
      <c r="AC15" s="1">
        <v>3.25</v>
      </c>
      <c r="AD15" s="1">
        <v>6.78721</v>
      </c>
      <c r="AE15" s="1">
        <v>174.36126200000001</v>
      </c>
      <c r="AF15" s="1">
        <v>147.29235999999997</v>
      </c>
      <c r="AG15" s="1">
        <v>37.445405999999991</v>
      </c>
      <c r="AH15" s="1">
        <v>275.88468499999999</v>
      </c>
      <c r="AI15" s="1">
        <v>0</v>
      </c>
    </row>
    <row r="16" spans="1:35" x14ac:dyDescent="0.25">
      <c r="A16" s="37">
        <v>2022</v>
      </c>
      <c r="B16">
        <v>50815</v>
      </c>
      <c r="C16" s="11">
        <v>4.8964619999999996</v>
      </c>
      <c r="D16" s="11">
        <v>0</v>
      </c>
      <c r="E16" s="11">
        <v>0</v>
      </c>
      <c r="F16" s="11">
        <v>0</v>
      </c>
      <c r="G16" s="11">
        <v>0</v>
      </c>
      <c r="H16" s="11">
        <v>0</v>
      </c>
      <c r="I16" s="11">
        <v>5.5115999999999998E-2</v>
      </c>
      <c r="J16" s="11">
        <v>9.4185999999999992E-2</v>
      </c>
      <c r="K16" s="11">
        <v>0</v>
      </c>
      <c r="L16" s="11">
        <v>0</v>
      </c>
      <c r="M16" s="11">
        <v>0</v>
      </c>
      <c r="N16" s="11">
        <v>2.999485</v>
      </c>
      <c r="O16" s="11">
        <v>1.1533959999999999</v>
      </c>
      <c r="P16" s="11">
        <v>0</v>
      </c>
      <c r="Q16" s="11">
        <v>0</v>
      </c>
      <c r="R16" s="11">
        <v>0</v>
      </c>
      <c r="S16" s="38" t="s">
        <v>125</v>
      </c>
      <c r="T16" s="1">
        <v>1074.966717</v>
      </c>
      <c r="U16" s="1">
        <v>142.07381900000001</v>
      </c>
      <c r="V16" s="1">
        <v>0</v>
      </c>
      <c r="W16" s="1">
        <v>0.125</v>
      </c>
      <c r="X16" s="1">
        <v>0</v>
      </c>
      <c r="Y16" s="1">
        <v>1.4642400000000002</v>
      </c>
      <c r="Z16" s="1">
        <v>160.94701100000003</v>
      </c>
      <c r="AA16" s="1">
        <v>14.970893999999998</v>
      </c>
      <c r="AB16" s="1">
        <v>1.032732</v>
      </c>
      <c r="AC16" s="1">
        <v>9.7971839999999997</v>
      </c>
      <c r="AD16" s="1">
        <v>36.212077999999991</v>
      </c>
      <c r="AE16" s="1">
        <v>375.39793700000001</v>
      </c>
      <c r="AF16" s="1">
        <v>119.03315499999999</v>
      </c>
      <c r="AG16" s="1">
        <v>26.113371999999998</v>
      </c>
      <c r="AH16" s="1">
        <v>308.47607700000003</v>
      </c>
      <c r="AI16" s="1">
        <v>29.305062999999997</v>
      </c>
    </row>
    <row r="17" spans="1:35" x14ac:dyDescent="0.25">
      <c r="A17" s="37">
        <v>2022</v>
      </c>
      <c r="B17">
        <v>50815</v>
      </c>
      <c r="C17" s="11">
        <v>12.729923999999999</v>
      </c>
      <c r="D17" s="11">
        <v>0</v>
      </c>
      <c r="E17" s="11">
        <v>0</v>
      </c>
      <c r="F17" s="11">
        <v>0</v>
      </c>
      <c r="G17" s="11">
        <v>0</v>
      </c>
      <c r="H17" s="11">
        <v>0</v>
      </c>
      <c r="I17" s="11">
        <v>0.11896</v>
      </c>
      <c r="J17" s="11">
        <v>0</v>
      </c>
      <c r="K17" s="11">
        <v>0</v>
      </c>
      <c r="L17" s="11">
        <v>0</v>
      </c>
      <c r="M17" s="11">
        <v>0</v>
      </c>
      <c r="N17" s="11">
        <v>4.0664929999999995</v>
      </c>
      <c r="O17" s="11">
        <v>1.308513</v>
      </c>
      <c r="P17" s="11">
        <v>0</v>
      </c>
      <c r="Q17" s="11">
        <v>0</v>
      </c>
      <c r="R17" s="11">
        <v>0</v>
      </c>
      <c r="S17" s="38" t="s">
        <v>127</v>
      </c>
      <c r="T17" s="1">
        <v>3857.8176170000002</v>
      </c>
      <c r="U17" s="1">
        <v>978.33029099999999</v>
      </c>
      <c r="V17" s="1">
        <v>1.034286</v>
      </c>
      <c r="W17" s="1">
        <v>51.069890999999998</v>
      </c>
      <c r="X17" s="1">
        <v>6</v>
      </c>
      <c r="Y17" s="1">
        <v>5.9606440000000003</v>
      </c>
      <c r="Z17" s="1">
        <v>563.14565800000003</v>
      </c>
      <c r="AA17" s="1">
        <v>32.441739999999996</v>
      </c>
      <c r="AB17" s="1">
        <v>-3.2239999999999999E-3</v>
      </c>
      <c r="AC17" s="1">
        <v>9.7398550000000004</v>
      </c>
      <c r="AD17" s="1">
        <v>46.352764999999998</v>
      </c>
      <c r="AE17" s="1">
        <v>1164.452043</v>
      </c>
      <c r="AF17" s="1">
        <v>586.68584099999998</v>
      </c>
      <c r="AG17" s="1">
        <v>35.907071999999999</v>
      </c>
      <c r="AH17" s="1">
        <v>1255.2277119999999</v>
      </c>
      <c r="AI17" s="1">
        <v>7.7416499999999999</v>
      </c>
    </row>
    <row r="18" spans="1:35" x14ac:dyDescent="0.25">
      <c r="A18" s="37">
        <v>2022</v>
      </c>
      <c r="B18">
        <v>50815</v>
      </c>
      <c r="C18" s="11">
        <v>23.544689999999999</v>
      </c>
      <c r="D18" s="11">
        <v>0</v>
      </c>
      <c r="E18" s="11">
        <v>0</v>
      </c>
      <c r="F18" s="11">
        <v>0</v>
      </c>
      <c r="G18" s="11">
        <v>0</v>
      </c>
      <c r="H18" s="11">
        <v>0</v>
      </c>
      <c r="I18" s="11">
        <v>2.8120559999999997</v>
      </c>
      <c r="J18" s="11">
        <v>0.28000000000000003</v>
      </c>
      <c r="K18" s="11">
        <v>0</v>
      </c>
      <c r="L18" s="11">
        <v>0.14000000000000001</v>
      </c>
      <c r="M18" s="11">
        <v>0</v>
      </c>
      <c r="N18" s="11">
        <v>9.9036049999999989</v>
      </c>
      <c r="O18" s="11">
        <v>0</v>
      </c>
      <c r="P18" s="11">
        <v>0</v>
      </c>
      <c r="Q18" s="11">
        <v>0</v>
      </c>
      <c r="R18" s="11">
        <v>0</v>
      </c>
      <c r="S18" s="38" t="s">
        <v>129</v>
      </c>
      <c r="T18" s="1">
        <v>304.56935099999998</v>
      </c>
      <c r="U18" s="1">
        <v>174.84284399999999</v>
      </c>
      <c r="V18" s="1">
        <v>0</v>
      </c>
      <c r="W18" s="1">
        <v>0</v>
      </c>
      <c r="X18" s="1">
        <v>0</v>
      </c>
      <c r="Y18" s="1">
        <v>0</v>
      </c>
      <c r="Z18" s="1">
        <v>59.537373000000002</v>
      </c>
      <c r="AA18" s="1">
        <v>9.1340779999999988</v>
      </c>
      <c r="AB18" s="1">
        <v>1</v>
      </c>
      <c r="AC18" s="1">
        <v>6.87</v>
      </c>
      <c r="AD18" s="1">
        <v>4.8477779999999999</v>
      </c>
      <c r="AE18" s="1">
        <v>78.819361000000001</v>
      </c>
      <c r="AF18" s="1">
        <v>48.190345000000001</v>
      </c>
      <c r="AG18" s="1">
        <v>0</v>
      </c>
      <c r="AH18" s="1">
        <v>122.861739</v>
      </c>
      <c r="AI18" s="1">
        <v>0</v>
      </c>
    </row>
    <row r="19" spans="1:35" x14ac:dyDescent="0.25">
      <c r="A19" s="37">
        <v>2022</v>
      </c>
      <c r="B19">
        <v>50815</v>
      </c>
      <c r="C19" s="11">
        <v>87.062367999999992</v>
      </c>
      <c r="D19" s="11">
        <v>24.13</v>
      </c>
      <c r="E19" s="11">
        <v>0</v>
      </c>
      <c r="F19" s="11">
        <v>0</v>
      </c>
      <c r="G19" s="11">
        <v>0</v>
      </c>
      <c r="H19" s="11">
        <v>0</v>
      </c>
      <c r="I19" s="11">
        <v>23.58586</v>
      </c>
      <c r="J19" s="11">
        <v>5</v>
      </c>
      <c r="K19" s="11">
        <v>0</v>
      </c>
      <c r="L19" s="11">
        <v>0</v>
      </c>
      <c r="M19" s="11">
        <v>1.1678569999999999</v>
      </c>
      <c r="N19" s="11">
        <v>36.928647999999995</v>
      </c>
      <c r="O19" s="11">
        <v>0</v>
      </c>
      <c r="P19" s="11">
        <v>0</v>
      </c>
      <c r="Q19" s="11">
        <v>30.139433999999998</v>
      </c>
      <c r="R19" s="11">
        <v>0</v>
      </c>
      <c r="S19" s="38" t="s">
        <v>131</v>
      </c>
      <c r="T19" s="1">
        <v>521.33543799999995</v>
      </c>
      <c r="U19" s="1">
        <v>113.12033</v>
      </c>
      <c r="V19" s="1">
        <v>0</v>
      </c>
      <c r="W19" s="1">
        <v>3</v>
      </c>
      <c r="X19" s="1">
        <v>0</v>
      </c>
      <c r="Y19" s="1">
        <v>0</v>
      </c>
      <c r="Z19" s="1">
        <v>82.070713999999995</v>
      </c>
      <c r="AA19" s="1">
        <v>7.0604399999999998</v>
      </c>
      <c r="AB19" s="1">
        <v>0</v>
      </c>
      <c r="AC19" s="1">
        <v>1.2774729999999999</v>
      </c>
      <c r="AD19" s="1">
        <v>7</v>
      </c>
      <c r="AE19" s="1">
        <v>131.58318199999999</v>
      </c>
      <c r="AF19" s="1">
        <v>78.679832999999988</v>
      </c>
      <c r="AG19" s="1">
        <v>5.6566239999999999</v>
      </c>
      <c r="AH19" s="1">
        <v>158.07276400000001</v>
      </c>
      <c r="AI19" s="1">
        <v>0</v>
      </c>
    </row>
    <row r="20" spans="1:35" x14ac:dyDescent="0.25">
      <c r="A20" s="37">
        <v>2022</v>
      </c>
      <c r="B20">
        <v>50815</v>
      </c>
      <c r="C20" s="11">
        <v>284.95312000000001</v>
      </c>
      <c r="D20" s="11">
        <v>105.66798299999999</v>
      </c>
      <c r="E20" s="11">
        <v>0</v>
      </c>
      <c r="F20" s="11">
        <v>0</v>
      </c>
      <c r="G20" s="11">
        <v>0</v>
      </c>
      <c r="H20" s="11">
        <v>0</v>
      </c>
      <c r="I20" s="11">
        <v>58.051783</v>
      </c>
      <c r="J20" s="11">
        <v>7.7696629999999995</v>
      </c>
      <c r="K20" s="11">
        <v>0.21348299999999998</v>
      </c>
      <c r="L20" s="11">
        <v>1</v>
      </c>
      <c r="M20" s="11">
        <v>5</v>
      </c>
      <c r="N20" s="11">
        <v>90.215052</v>
      </c>
      <c r="O20" s="11">
        <v>35.984407999999995</v>
      </c>
      <c r="P20" s="11">
        <v>0</v>
      </c>
      <c r="Q20" s="11">
        <v>95.198448999999997</v>
      </c>
      <c r="R20" s="11">
        <v>0</v>
      </c>
      <c r="S20" s="38" t="s">
        <v>133</v>
      </c>
      <c r="T20" s="1">
        <v>351.86403199999995</v>
      </c>
      <c r="U20" s="1">
        <v>49.722916999999995</v>
      </c>
      <c r="V20" s="1">
        <v>0</v>
      </c>
      <c r="W20" s="1">
        <v>0</v>
      </c>
      <c r="X20" s="1">
        <v>0</v>
      </c>
      <c r="Y20" s="1">
        <v>0.5</v>
      </c>
      <c r="Z20" s="1">
        <v>56.263888999999992</v>
      </c>
      <c r="AA20" s="1">
        <v>2.5583329999999997</v>
      </c>
      <c r="AB20" s="1">
        <v>0</v>
      </c>
      <c r="AC20" s="1">
        <v>0</v>
      </c>
      <c r="AD20" s="1">
        <v>2</v>
      </c>
      <c r="AE20" s="1">
        <v>213.20086399999997</v>
      </c>
      <c r="AF20" s="1">
        <v>99.217414999999988</v>
      </c>
      <c r="AG20" s="1">
        <v>0</v>
      </c>
      <c r="AH20" s="1">
        <v>10.731114999999999</v>
      </c>
      <c r="AI20" s="1">
        <v>0</v>
      </c>
    </row>
    <row r="21" spans="1:35" x14ac:dyDescent="0.25">
      <c r="A21" s="37">
        <v>2022</v>
      </c>
      <c r="B21">
        <v>50815</v>
      </c>
      <c r="C21" s="11">
        <v>254.723545</v>
      </c>
      <c r="D21" s="11">
        <v>103.775916</v>
      </c>
      <c r="E21" s="11">
        <v>0</v>
      </c>
      <c r="F21" s="11">
        <v>0</v>
      </c>
      <c r="G21" s="11">
        <v>0</v>
      </c>
      <c r="H21" s="11">
        <v>0</v>
      </c>
      <c r="I21" s="11">
        <v>47.519887999999995</v>
      </c>
      <c r="J21" s="11">
        <v>5.1046399999999998</v>
      </c>
      <c r="K21" s="11">
        <v>1.1460669999999999</v>
      </c>
      <c r="L21" s="11">
        <v>0</v>
      </c>
      <c r="M21" s="11">
        <v>11.405987999999999</v>
      </c>
      <c r="N21" s="11">
        <v>84.170176999999995</v>
      </c>
      <c r="O21" s="11">
        <v>35.540898999999996</v>
      </c>
      <c r="P21" s="11">
        <v>0</v>
      </c>
      <c r="Q21" s="11">
        <v>75.55965599999999</v>
      </c>
      <c r="R21" s="11">
        <v>0</v>
      </c>
      <c r="S21" s="38" t="s">
        <v>135</v>
      </c>
      <c r="T21" s="1">
        <v>675.87389399999995</v>
      </c>
      <c r="U21" s="1">
        <v>554.66323599999998</v>
      </c>
      <c r="V21" s="1">
        <v>0</v>
      </c>
      <c r="W21" s="1">
        <v>0</v>
      </c>
      <c r="X21" s="1">
        <v>0</v>
      </c>
      <c r="Y21" s="1">
        <v>1.032921</v>
      </c>
      <c r="Z21" s="1">
        <v>132.344179</v>
      </c>
      <c r="AA21" s="1">
        <v>6.8539329999999996</v>
      </c>
      <c r="AB21" s="1">
        <v>2.27</v>
      </c>
      <c r="AC21" s="1">
        <v>10.530785999999999</v>
      </c>
      <c r="AD21" s="1">
        <v>10.777359000000001</v>
      </c>
      <c r="AE21" s="1">
        <v>228.51861599999998</v>
      </c>
      <c r="AF21" s="1">
        <v>93.962391999999994</v>
      </c>
      <c r="AG21" s="1">
        <v>10.027905999999998</v>
      </c>
      <c r="AH21" s="1">
        <v>286.44325900000001</v>
      </c>
      <c r="AI21" s="1">
        <v>7.3978380000000001</v>
      </c>
    </row>
    <row r="22" spans="1:35" x14ac:dyDescent="0.25">
      <c r="A22" s="37">
        <v>2022</v>
      </c>
      <c r="B22">
        <v>50856</v>
      </c>
      <c r="C22" s="11">
        <v>122.20854</v>
      </c>
      <c r="D22" s="11">
        <v>43.320443999999995</v>
      </c>
      <c r="E22" s="11">
        <v>0</v>
      </c>
      <c r="F22" s="11">
        <v>0</v>
      </c>
      <c r="G22" s="11">
        <v>0</v>
      </c>
      <c r="H22" s="11">
        <v>0</v>
      </c>
      <c r="I22" s="11">
        <v>30.900756999999999</v>
      </c>
      <c r="J22" s="11">
        <v>0.49157299999999998</v>
      </c>
      <c r="K22" s="11">
        <v>0</v>
      </c>
      <c r="L22" s="11">
        <v>1.1460669999999999</v>
      </c>
      <c r="M22" s="11">
        <v>1.8900000000000001</v>
      </c>
      <c r="N22" s="11">
        <v>52.336492999999997</v>
      </c>
      <c r="O22" s="11">
        <v>20.805568999999998</v>
      </c>
      <c r="P22" s="11">
        <v>0</v>
      </c>
      <c r="Q22" s="11">
        <v>35.621547999999997</v>
      </c>
      <c r="R22" s="11">
        <v>0</v>
      </c>
      <c r="S22" s="38" t="s">
        <v>137</v>
      </c>
      <c r="T22" s="1">
        <v>879.9118729999999</v>
      </c>
      <c r="U22" s="1">
        <v>158.65457000000001</v>
      </c>
      <c r="V22" s="1">
        <v>0</v>
      </c>
      <c r="W22" s="1">
        <v>5.3706209999999999</v>
      </c>
      <c r="X22" s="1">
        <v>4</v>
      </c>
      <c r="Y22" s="1">
        <v>0.90593200000000007</v>
      </c>
      <c r="Z22" s="1">
        <v>114.33694100000001</v>
      </c>
      <c r="AA22" s="1">
        <v>10.079886999999999</v>
      </c>
      <c r="AB22" s="1">
        <v>0</v>
      </c>
      <c r="AC22" s="1">
        <v>2.850816</v>
      </c>
      <c r="AD22" s="1">
        <v>7.7709259999999993</v>
      </c>
      <c r="AE22" s="1">
        <v>234.536846</v>
      </c>
      <c r="AF22" s="1">
        <v>99.181367000000009</v>
      </c>
      <c r="AG22" s="1">
        <v>0</v>
      </c>
      <c r="AH22" s="1">
        <v>278.21588700000001</v>
      </c>
      <c r="AI22" s="1">
        <v>2.1999960000000001</v>
      </c>
    </row>
    <row r="23" spans="1:35" x14ac:dyDescent="0.25">
      <c r="A23" s="37">
        <v>2022</v>
      </c>
      <c r="B23">
        <v>50856</v>
      </c>
      <c r="C23" s="11">
        <v>144.27682199999998</v>
      </c>
      <c r="D23" s="11">
        <v>52.489609999999999</v>
      </c>
      <c r="E23" s="11">
        <v>0</v>
      </c>
      <c r="F23" s="11">
        <v>0.13</v>
      </c>
      <c r="G23" s="11">
        <v>0</v>
      </c>
      <c r="H23" s="11">
        <v>0</v>
      </c>
      <c r="I23" s="11">
        <v>38.017393999999996</v>
      </c>
      <c r="J23" s="11">
        <v>1.332352</v>
      </c>
      <c r="K23" s="11">
        <v>0</v>
      </c>
      <c r="L23" s="11">
        <v>0</v>
      </c>
      <c r="M23" s="11">
        <v>2.1285029999999998</v>
      </c>
      <c r="N23" s="11">
        <v>46.709382999999995</v>
      </c>
      <c r="O23" s="11">
        <v>23.646421</v>
      </c>
      <c r="P23" s="11">
        <v>0</v>
      </c>
      <c r="Q23" s="11">
        <v>60.865874999999996</v>
      </c>
      <c r="R23" s="11">
        <v>0</v>
      </c>
      <c r="S23" s="38" t="s">
        <v>139</v>
      </c>
      <c r="T23" s="1">
        <v>1187.695367</v>
      </c>
      <c r="U23" s="1">
        <v>341.61028599999997</v>
      </c>
      <c r="V23" s="1">
        <v>0</v>
      </c>
      <c r="W23" s="1">
        <v>0</v>
      </c>
      <c r="X23" s="1">
        <v>0</v>
      </c>
      <c r="Y23" s="1">
        <v>0</v>
      </c>
      <c r="Z23" s="1">
        <v>249.273248</v>
      </c>
      <c r="AA23" s="1">
        <v>11.079863</v>
      </c>
      <c r="AB23" s="1">
        <v>0</v>
      </c>
      <c r="AC23" s="1">
        <v>5</v>
      </c>
      <c r="AD23" s="1">
        <v>37.107402</v>
      </c>
      <c r="AE23" s="1">
        <v>176.91530699999998</v>
      </c>
      <c r="AF23" s="1">
        <v>110.646041</v>
      </c>
      <c r="AG23" s="1">
        <v>182.38435399999997</v>
      </c>
      <c r="AH23" s="1">
        <v>514.196369</v>
      </c>
      <c r="AI23" s="1">
        <v>0</v>
      </c>
    </row>
    <row r="24" spans="1:35" x14ac:dyDescent="0.25">
      <c r="A24" s="37">
        <v>2022</v>
      </c>
      <c r="B24">
        <v>50856</v>
      </c>
      <c r="C24" s="11">
        <v>79.345869999999991</v>
      </c>
      <c r="D24" s="11">
        <v>25.21837</v>
      </c>
      <c r="E24" s="11">
        <v>0</v>
      </c>
      <c r="F24" s="11">
        <v>0</v>
      </c>
      <c r="G24" s="11">
        <v>0.13</v>
      </c>
      <c r="H24" s="11">
        <v>0</v>
      </c>
      <c r="I24" s="11">
        <v>26.811672999999999</v>
      </c>
      <c r="J24" s="11">
        <v>2.022599</v>
      </c>
      <c r="K24" s="11">
        <v>0</v>
      </c>
      <c r="L24" s="11">
        <v>0</v>
      </c>
      <c r="M24" s="11">
        <v>0</v>
      </c>
      <c r="N24" s="11">
        <v>30.556215999999999</v>
      </c>
      <c r="O24" s="11">
        <v>10.834173</v>
      </c>
      <c r="P24" s="11">
        <v>0</v>
      </c>
      <c r="Q24" s="11">
        <v>30.737136</v>
      </c>
      <c r="R24" s="11">
        <v>0</v>
      </c>
      <c r="S24" s="38" t="s">
        <v>141</v>
      </c>
      <c r="T24" s="1">
        <v>758.339519</v>
      </c>
      <c r="U24" s="1">
        <v>294.85028499999999</v>
      </c>
      <c r="V24" s="1">
        <v>0</v>
      </c>
      <c r="W24" s="1">
        <v>0</v>
      </c>
      <c r="X24" s="1">
        <v>0</v>
      </c>
      <c r="Y24" s="1">
        <v>1</v>
      </c>
      <c r="Z24" s="1">
        <v>165.24870800000002</v>
      </c>
      <c r="AA24" s="1">
        <v>10.128188</v>
      </c>
      <c r="AB24" s="1">
        <v>2</v>
      </c>
      <c r="AC24" s="1">
        <v>1</v>
      </c>
      <c r="AD24" s="1">
        <v>20.155425000000001</v>
      </c>
      <c r="AE24" s="1">
        <v>171.045322</v>
      </c>
      <c r="AF24" s="1">
        <v>138.04687200000001</v>
      </c>
      <c r="AG24" s="1">
        <v>9.1115709999999996</v>
      </c>
      <c r="AH24" s="1">
        <v>250.678045</v>
      </c>
      <c r="AI24" s="1">
        <v>0</v>
      </c>
    </row>
    <row r="25" spans="1:35" x14ac:dyDescent="0.25">
      <c r="A25" s="37">
        <v>2022</v>
      </c>
      <c r="B25">
        <v>50856</v>
      </c>
      <c r="C25" s="11">
        <v>67.080089999999998</v>
      </c>
      <c r="D25" s="11">
        <v>26.394629999999999</v>
      </c>
      <c r="E25" s="11">
        <v>0</v>
      </c>
      <c r="F25" s="11">
        <v>0</v>
      </c>
      <c r="G25" s="11">
        <v>0</v>
      </c>
      <c r="H25" s="11">
        <v>0</v>
      </c>
      <c r="I25" s="11">
        <v>14.219678999999999</v>
      </c>
      <c r="J25" s="11">
        <v>0</v>
      </c>
      <c r="K25" s="11">
        <v>0</v>
      </c>
      <c r="L25" s="11">
        <v>1</v>
      </c>
      <c r="M25" s="11">
        <v>0</v>
      </c>
      <c r="N25" s="11">
        <v>25.857286999999999</v>
      </c>
      <c r="O25" s="11">
        <v>10.401802999999999</v>
      </c>
      <c r="P25" s="11">
        <v>0</v>
      </c>
      <c r="Q25" s="11">
        <v>23.216445999999998</v>
      </c>
      <c r="R25" s="11">
        <v>0</v>
      </c>
      <c r="S25" s="38" t="s">
        <v>143</v>
      </c>
      <c r="T25" s="1">
        <v>2008.5053339999999</v>
      </c>
      <c r="U25" s="1">
        <v>291.69503099999997</v>
      </c>
      <c r="V25" s="1">
        <v>0</v>
      </c>
      <c r="W25" s="1">
        <v>5.1205940000000005</v>
      </c>
      <c r="X25" s="1">
        <v>0</v>
      </c>
      <c r="Y25" s="1">
        <v>2.7185199999999998</v>
      </c>
      <c r="Z25" s="1">
        <v>257.05177000000003</v>
      </c>
      <c r="AA25" s="1">
        <v>10.512172999999999</v>
      </c>
      <c r="AB25" s="1">
        <v>2.14</v>
      </c>
      <c r="AC25" s="1">
        <v>4.29</v>
      </c>
      <c r="AD25" s="1">
        <v>23.573354999999999</v>
      </c>
      <c r="AE25" s="1">
        <v>739.91852600000004</v>
      </c>
      <c r="AF25" s="1">
        <v>292.974987</v>
      </c>
      <c r="AG25" s="1">
        <v>17.006739</v>
      </c>
      <c r="AH25" s="1">
        <v>606.86574199999995</v>
      </c>
      <c r="AI25" s="1">
        <v>0</v>
      </c>
    </row>
    <row r="26" spans="1:35" x14ac:dyDescent="0.25">
      <c r="A26" s="37">
        <v>2022</v>
      </c>
      <c r="B26">
        <v>50856</v>
      </c>
      <c r="C26" s="11">
        <v>17.657937</v>
      </c>
      <c r="D26" s="11">
        <v>5.367019</v>
      </c>
      <c r="E26" s="11">
        <v>0</v>
      </c>
      <c r="F26" s="11">
        <v>0</v>
      </c>
      <c r="G26" s="11">
        <v>0</v>
      </c>
      <c r="H26" s="11">
        <v>9.8920999999999995E-2</v>
      </c>
      <c r="I26" s="11">
        <v>0.82262899999999994</v>
      </c>
      <c r="J26" s="11">
        <v>0.21892099999999998</v>
      </c>
      <c r="K26" s="11">
        <v>0</v>
      </c>
      <c r="L26" s="11">
        <v>0</v>
      </c>
      <c r="M26" s="11">
        <v>0.12850300000000001</v>
      </c>
      <c r="N26" s="11">
        <v>5.6504560000000001</v>
      </c>
      <c r="O26" s="11">
        <v>2.9601569999999997</v>
      </c>
      <c r="P26" s="11">
        <v>0</v>
      </c>
      <c r="Q26" s="11">
        <v>0</v>
      </c>
      <c r="R26" s="11">
        <v>0</v>
      </c>
      <c r="S26" s="38" t="s">
        <v>145</v>
      </c>
      <c r="T26" s="1">
        <v>1033.2718789999999</v>
      </c>
      <c r="U26" s="1">
        <v>289.95799</v>
      </c>
      <c r="V26" s="1">
        <v>0</v>
      </c>
      <c r="W26" s="1">
        <v>0</v>
      </c>
      <c r="X26" s="1">
        <v>0</v>
      </c>
      <c r="Y26" s="1">
        <v>0.14000000000000001</v>
      </c>
      <c r="Z26" s="1">
        <v>183.37668199999999</v>
      </c>
      <c r="AA26" s="1">
        <v>2.275172</v>
      </c>
      <c r="AB26" s="1">
        <v>0</v>
      </c>
      <c r="AC26" s="1">
        <v>3</v>
      </c>
      <c r="AD26" s="1">
        <v>18</v>
      </c>
      <c r="AE26" s="1">
        <v>332.44414399999999</v>
      </c>
      <c r="AF26" s="1">
        <v>128.539492</v>
      </c>
      <c r="AG26" s="1">
        <v>25.088193999999998</v>
      </c>
      <c r="AH26" s="1">
        <v>345.94362999999998</v>
      </c>
      <c r="AI26" s="1">
        <v>0</v>
      </c>
    </row>
    <row r="27" spans="1:35" x14ac:dyDescent="0.25">
      <c r="A27" s="37">
        <v>2022</v>
      </c>
      <c r="B27">
        <v>50856</v>
      </c>
      <c r="C27" s="11">
        <v>13.009231</v>
      </c>
      <c r="D27" s="11">
        <v>4.0432579999999998</v>
      </c>
      <c r="E27" s="11">
        <v>0</v>
      </c>
      <c r="F27" s="11">
        <v>0</v>
      </c>
      <c r="G27" s="11">
        <v>0</v>
      </c>
      <c r="H27" s="11">
        <v>0</v>
      </c>
      <c r="I27" s="11">
        <v>1.313685</v>
      </c>
      <c r="J27" s="11">
        <v>0</v>
      </c>
      <c r="K27" s="11">
        <v>0</v>
      </c>
      <c r="L27" s="11">
        <v>0</v>
      </c>
      <c r="M27" s="11">
        <v>6.2157999999999998E-2</v>
      </c>
      <c r="N27" s="11">
        <v>4.1285889999999998</v>
      </c>
      <c r="O27" s="11">
        <v>2.0785670000000001</v>
      </c>
      <c r="P27" s="11">
        <v>0</v>
      </c>
      <c r="Q27" s="11">
        <v>0</v>
      </c>
      <c r="R27" s="11">
        <v>0</v>
      </c>
      <c r="S27" s="38" t="s">
        <v>147</v>
      </c>
      <c r="T27" s="1">
        <v>939.48655400000007</v>
      </c>
      <c r="U27" s="1">
        <v>140.230852</v>
      </c>
      <c r="V27" s="1">
        <v>0</v>
      </c>
      <c r="W27" s="1">
        <v>1.13137</v>
      </c>
      <c r="X27" s="1">
        <v>0</v>
      </c>
      <c r="Y27" s="1">
        <v>0.46</v>
      </c>
      <c r="Z27" s="1">
        <v>147.34865499999998</v>
      </c>
      <c r="AA27" s="1">
        <v>6.1842969999999999</v>
      </c>
      <c r="AB27" s="1">
        <v>0</v>
      </c>
      <c r="AC27" s="1">
        <v>1.4911949999999998</v>
      </c>
      <c r="AD27" s="1">
        <v>9.9035930000000008</v>
      </c>
      <c r="AE27" s="1">
        <v>307.01072399999993</v>
      </c>
      <c r="AF27" s="1">
        <v>153.81414799999999</v>
      </c>
      <c r="AG27" s="1">
        <v>32.438531999999995</v>
      </c>
      <c r="AH27" s="1">
        <v>179.71729099999999</v>
      </c>
      <c r="AI27" s="1">
        <v>8.6461509999999997</v>
      </c>
    </row>
    <row r="28" spans="1:35" x14ac:dyDescent="0.25">
      <c r="A28" s="37">
        <v>2022</v>
      </c>
      <c r="B28">
        <v>50880</v>
      </c>
      <c r="C28" s="11">
        <v>233.97892200000001</v>
      </c>
      <c r="D28" s="11">
        <v>109.24814600000001</v>
      </c>
      <c r="E28" s="11">
        <v>0.76114700000000002</v>
      </c>
      <c r="F28" s="11">
        <v>3.691986</v>
      </c>
      <c r="G28" s="11">
        <v>0.17</v>
      </c>
      <c r="H28" s="11">
        <v>0.48</v>
      </c>
      <c r="I28" s="11">
        <v>19.605058</v>
      </c>
      <c r="J28" s="11">
        <v>1.099545</v>
      </c>
      <c r="K28" s="11">
        <v>0.25870599999999999</v>
      </c>
      <c r="L28" s="11">
        <v>9.7721999999999989E-2</v>
      </c>
      <c r="M28" s="11">
        <v>1.381343</v>
      </c>
      <c r="N28" s="11">
        <v>86.332319999999996</v>
      </c>
      <c r="O28" s="11">
        <v>11.440491</v>
      </c>
      <c r="P28" s="11">
        <v>10.87744</v>
      </c>
      <c r="Q28" s="11">
        <v>0</v>
      </c>
      <c r="R28" s="11">
        <v>0</v>
      </c>
      <c r="S28" s="38" t="s">
        <v>149</v>
      </c>
      <c r="T28" s="1">
        <v>2076.3756399999997</v>
      </c>
      <c r="U28" s="1">
        <v>528.99229999999989</v>
      </c>
      <c r="V28" s="1">
        <v>0</v>
      </c>
      <c r="W28" s="1">
        <v>0</v>
      </c>
      <c r="X28" s="1">
        <v>0</v>
      </c>
      <c r="Y28" s="1">
        <v>1.124749</v>
      </c>
      <c r="Z28" s="1">
        <v>401.98085899999995</v>
      </c>
      <c r="AA28" s="1">
        <v>20.730295999999999</v>
      </c>
      <c r="AB28" s="1">
        <v>6.3996630000000003</v>
      </c>
      <c r="AC28" s="1">
        <v>10.029999999999999</v>
      </c>
      <c r="AD28" s="1">
        <v>39.544292999999996</v>
      </c>
      <c r="AE28" s="1">
        <v>628.29837899999995</v>
      </c>
      <c r="AF28" s="1">
        <v>313.96712500000001</v>
      </c>
      <c r="AG28" s="1">
        <v>125.74374</v>
      </c>
      <c r="AH28" s="1">
        <v>634.77205500000002</v>
      </c>
      <c r="AI28" s="1">
        <v>95.564043999999996</v>
      </c>
    </row>
    <row r="29" spans="1:35" x14ac:dyDescent="0.25">
      <c r="A29" s="37">
        <v>2022</v>
      </c>
      <c r="B29">
        <v>50880</v>
      </c>
      <c r="C29" s="11">
        <v>247.97663399999999</v>
      </c>
      <c r="D29" s="11">
        <v>93.504020999999995</v>
      </c>
      <c r="E29" s="11">
        <v>0.540659</v>
      </c>
      <c r="F29" s="11">
        <v>3.6632599999999997</v>
      </c>
      <c r="G29" s="11">
        <v>1.221819</v>
      </c>
      <c r="H29" s="11">
        <v>1.6253979999999999</v>
      </c>
      <c r="I29" s="11">
        <v>13.252357</v>
      </c>
      <c r="J29" s="11">
        <v>1.4443029999999999</v>
      </c>
      <c r="K29" s="11">
        <v>0.10396</v>
      </c>
      <c r="L29" s="11">
        <v>9.7721999999999989E-2</v>
      </c>
      <c r="M29" s="11">
        <v>1.4868439999999998</v>
      </c>
      <c r="N29" s="11">
        <v>100.697439</v>
      </c>
      <c r="O29" s="11">
        <v>6.3224320000000001</v>
      </c>
      <c r="P29" s="11">
        <v>0.46315699999999999</v>
      </c>
      <c r="Q29" s="11">
        <v>0</v>
      </c>
      <c r="R29" s="11">
        <v>0</v>
      </c>
      <c r="S29" s="38" t="s">
        <v>151</v>
      </c>
      <c r="T29" s="1">
        <v>447.41397699999993</v>
      </c>
      <c r="U29" s="1">
        <v>443.31225299999994</v>
      </c>
      <c r="V29" s="1">
        <v>0</v>
      </c>
      <c r="W29" s="1">
        <v>0</v>
      </c>
      <c r="X29" s="1">
        <v>0</v>
      </c>
      <c r="Y29" s="1">
        <v>1.0047699999999999</v>
      </c>
      <c r="Z29" s="1">
        <v>112.10032999999999</v>
      </c>
      <c r="AA29" s="1">
        <v>3</v>
      </c>
      <c r="AB29" s="1">
        <v>0.13068199999999999</v>
      </c>
      <c r="AC29" s="1">
        <v>11.560941</v>
      </c>
      <c r="AD29" s="1">
        <v>10.666590999999999</v>
      </c>
      <c r="AE29" s="1">
        <v>158.68368699999999</v>
      </c>
      <c r="AF29" s="1">
        <v>31.068179000000001</v>
      </c>
      <c r="AG29" s="1">
        <v>5.1424969999999997</v>
      </c>
      <c r="AH29" s="1">
        <v>144.245779</v>
      </c>
      <c r="AI29" s="1">
        <v>0</v>
      </c>
    </row>
    <row r="30" spans="1:35" x14ac:dyDescent="0.25">
      <c r="A30" s="37">
        <v>2022</v>
      </c>
      <c r="B30">
        <v>50880</v>
      </c>
      <c r="C30" s="11">
        <v>55.281241999999999</v>
      </c>
      <c r="D30" s="11">
        <v>26.101334999999999</v>
      </c>
      <c r="E30" s="11">
        <v>0.10742599999999999</v>
      </c>
      <c r="F30" s="11">
        <v>1.6069179999999998</v>
      </c>
      <c r="G30" s="11">
        <v>0.66465399999999997</v>
      </c>
      <c r="H30" s="11">
        <v>0.215918</v>
      </c>
      <c r="I30" s="11">
        <v>3.4066049999999999</v>
      </c>
      <c r="J30" s="11">
        <v>0.42</v>
      </c>
      <c r="K30" s="11">
        <v>0</v>
      </c>
      <c r="L30" s="11">
        <v>1.1089E-2</v>
      </c>
      <c r="M30" s="11">
        <v>0.42</v>
      </c>
      <c r="N30" s="11">
        <v>0</v>
      </c>
      <c r="O30" s="11">
        <v>0</v>
      </c>
      <c r="P30" s="11">
        <v>0</v>
      </c>
      <c r="Q30" s="11">
        <v>0</v>
      </c>
      <c r="R30" s="11">
        <v>0</v>
      </c>
      <c r="S30" s="38" t="s">
        <v>153</v>
      </c>
      <c r="T30" s="1">
        <v>675.904988</v>
      </c>
      <c r="U30" s="1">
        <v>204.342804</v>
      </c>
      <c r="V30" s="1">
        <v>0</v>
      </c>
      <c r="W30" s="1">
        <v>0</v>
      </c>
      <c r="X30" s="1">
        <v>0</v>
      </c>
      <c r="Y30" s="1">
        <v>0</v>
      </c>
      <c r="Z30" s="1">
        <v>152.59907399999997</v>
      </c>
      <c r="AA30" s="1">
        <v>9.4234829999999992</v>
      </c>
      <c r="AB30" s="1">
        <v>0.5</v>
      </c>
      <c r="AC30" s="1">
        <v>1.5</v>
      </c>
      <c r="AD30" s="1">
        <v>13.211347999999999</v>
      </c>
      <c r="AE30" s="1">
        <v>163.06039699999999</v>
      </c>
      <c r="AF30" s="1">
        <v>150.135006</v>
      </c>
      <c r="AG30" s="1">
        <v>0</v>
      </c>
      <c r="AH30" s="1">
        <v>142.60594</v>
      </c>
      <c r="AI30" s="1">
        <v>0</v>
      </c>
    </row>
    <row r="31" spans="1:35" x14ac:dyDescent="0.25">
      <c r="A31" s="37">
        <v>2022</v>
      </c>
      <c r="B31">
        <v>50880</v>
      </c>
      <c r="C31" s="11">
        <v>1259.7990990000001</v>
      </c>
      <c r="D31" s="11">
        <v>372.73697900000002</v>
      </c>
      <c r="E31" s="11">
        <v>0.65917399999999993</v>
      </c>
      <c r="F31" s="11">
        <v>20.210179</v>
      </c>
      <c r="G31" s="11">
        <v>4.7070169999999996</v>
      </c>
      <c r="H31" s="11">
        <v>0</v>
      </c>
      <c r="I31" s="11">
        <v>162.34437399999999</v>
      </c>
      <c r="J31" s="11">
        <v>15.954400000000001</v>
      </c>
      <c r="K31" s="11">
        <v>0</v>
      </c>
      <c r="L31" s="11">
        <v>13.144281999999999</v>
      </c>
      <c r="M31" s="11">
        <v>52.240956999999995</v>
      </c>
      <c r="N31" s="11">
        <v>305.42538300000001</v>
      </c>
      <c r="O31" s="11">
        <v>329.64034500000002</v>
      </c>
      <c r="P31" s="11">
        <v>79.724690999999993</v>
      </c>
      <c r="Q31" s="11">
        <v>199.732529</v>
      </c>
      <c r="R31" s="11">
        <v>22.418143999999998</v>
      </c>
      <c r="S31" s="38" t="s">
        <v>155</v>
      </c>
      <c r="T31" s="1">
        <v>1278.339066</v>
      </c>
      <c r="U31" s="1">
        <v>341.05218300000001</v>
      </c>
      <c r="V31" s="1">
        <v>0</v>
      </c>
      <c r="W31" s="1">
        <v>0</v>
      </c>
      <c r="X31" s="1">
        <v>0</v>
      </c>
      <c r="Y31" s="1">
        <v>0.92272399999999999</v>
      </c>
      <c r="Z31" s="1">
        <v>213.71764199999998</v>
      </c>
      <c r="AA31" s="1">
        <v>11.785926999999999</v>
      </c>
      <c r="AB31" s="1">
        <v>0.109167</v>
      </c>
      <c r="AC31" s="1">
        <v>13.54158</v>
      </c>
      <c r="AD31" s="1">
        <v>22.696921</v>
      </c>
      <c r="AE31" s="1">
        <v>337.64755500000001</v>
      </c>
      <c r="AF31" s="1">
        <v>190.34657399999998</v>
      </c>
      <c r="AG31" s="1">
        <v>2.986145</v>
      </c>
      <c r="AH31" s="1">
        <v>386.07319799999999</v>
      </c>
      <c r="AI31" s="1">
        <v>41.109358999999998</v>
      </c>
    </row>
    <row r="32" spans="1:35" x14ac:dyDescent="0.25">
      <c r="A32" s="37">
        <v>2022</v>
      </c>
      <c r="B32">
        <v>50880</v>
      </c>
      <c r="C32" s="11">
        <v>1128.944256</v>
      </c>
      <c r="D32" s="11">
        <v>303.64983599999999</v>
      </c>
      <c r="E32" s="11">
        <v>0.69855899999999993</v>
      </c>
      <c r="F32" s="11">
        <v>13.234859</v>
      </c>
      <c r="G32" s="11">
        <v>3.0407690000000001</v>
      </c>
      <c r="H32" s="11">
        <v>1.9074129999999998</v>
      </c>
      <c r="I32" s="11">
        <v>105.51044400000001</v>
      </c>
      <c r="J32" s="11">
        <v>4.0488200000000001</v>
      </c>
      <c r="K32" s="11">
        <v>0</v>
      </c>
      <c r="L32" s="11">
        <v>2.8719399999999999</v>
      </c>
      <c r="M32" s="11">
        <v>7.7407199999999996</v>
      </c>
      <c r="N32" s="11">
        <v>333.969695</v>
      </c>
      <c r="O32" s="11">
        <v>227.18382099999999</v>
      </c>
      <c r="P32" s="11">
        <v>43.709353</v>
      </c>
      <c r="Q32" s="11">
        <v>307.81184999999999</v>
      </c>
      <c r="R32" s="11">
        <v>28.750003</v>
      </c>
      <c r="S32" s="38" t="s">
        <v>157</v>
      </c>
      <c r="T32" s="1">
        <v>969.97938600000009</v>
      </c>
      <c r="U32" s="1">
        <v>504.77235899999994</v>
      </c>
      <c r="V32" s="1">
        <v>0</v>
      </c>
      <c r="W32" s="1">
        <v>1</v>
      </c>
      <c r="X32" s="1">
        <v>0</v>
      </c>
      <c r="Y32" s="1">
        <v>1.128539</v>
      </c>
      <c r="Z32" s="1">
        <v>132.25564299999999</v>
      </c>
      <c r="AA32" s="1">
        <v>6.3767610000000001</v>
      </c>
      <c r="AB32" s="1">
        <v>0.34595500000000001</v>
      </c>
      <c r="AC32" s="1">
        <v>13.180561000000001</v>
      </c>
      <c r="AD32" s="1">
        <v>22.013186999999999</v>
      </c>
      <c r="AE32" s="1">
        <v>329.43609999999995</v>
      </c>
      <c r="AF32" s="1">
        <v>153.04413099999999</v>
      </c>
      <c r="AG32" s="1">
        <v>23.329795999999998</v>
      </c>
      <c r="AH32" s="1">
        <v>225.427964</v>
      </c>
      <c r="AI32" s="1">
        <v>16.908815999999998</v>
      </c>
    </row>
    <row r="33" spans="1:35" x14ac:dyDescent="0.25">
      <c r="A33" s="37">
        <v>2022</v>
      </c>
      <c r="B33">
        <v>50880</v>
      </c>
      <c r="C33" s="11">
        <v>547.87795700000004</v>
      </c>
      <c r="D33" s="11">
        <v>156.76567</v>
      </c>
      <c r="E33" s="11">
        <v>1.64367</v>
      </c>
      <c r="F33" s="11">
        <v>14.164335999999999</v>
      </c>
      <c r="G33" s="11">
        <v>2.9976699999999998</v>
      </c>
      <c r="H33" s="11">
        <v>1.25</v>
      </c>
      <c r="I33" s="11">
        <v>49.026094999999998</v>
      </c>
      <c r="J33" s="11">
        <v>2.4073319999999998</v>
      </c>
      <c r="K33" s="11">
        <v>0.25</v>
      </c>
      <c r="L33" s="11">
        <v>0.8</v>
      </c>
      <c r="M33" s="11">
        <v>0.95089099999999993</v>
      </c>
      <c r="N33" s="11">
        <v>165.85494299999999</v>
      </c>
      <c r="O33" s="11">
        <v>113.290993</v>
      </c>
      <c r="P33" s="11">
        <v>9.0773320000000002</v>
      </c>
      <c r="Q33" s="11">
        <v>70.251474999999999</v>
      </c>
      <c r="R33" s="11">
        <v>63.140867</v>
      </c>
      <c r="S33" s="38" t="s">
        <v>159</v>
      </c>
      <c r="T33" s="1">
        <v>667.06483200000002</v>
      </c>
      <c r="U33" s="1">
        <v>137.35610600000001</v>
      </c>
      <c r="V33" s="1">
        <v>0</v>
      </c>
      <c r="W33" s="1">
        <v>1</v>
      </c>
      <c r="X33" s="1">
        <v>0</v>
      </c>
      <c r="Y33" s="1">
        <v>2.8463779999999996</v>
      </c>
      <c r="Z33" s="1">
        <v>87.004671999999999</v>
      </c>
      <c r="AA33" s="1">
        <v>4.1781740000000003</v>
      </c>
      <c r="AB33" s="1">
        <v>0.41452699999999998</v>
      </c>
      <c r="AC33" s="1">
        <v>1.62</v>
      </c>
      <c r="AD33" s="1">
        <v>11.785069999999997</v>
      </c>
      <c r="AE33" s="1">
        <v>316.60332399999999</v>
      </c>
      <c r="AF33" s="1">
        <v>158.73933</v>
      </c>
      <c r="AG33" s="1">
        <v>22.702437</v>
      </c>
      <c r="AH33" s="1">
        <v>94.772154999999998</v>
      </c>
      <c r="AI33" s="1">
        <v>2.5625290000000001</v>
      </c>
    </row>
    <row r="34" spans="1:35" x14ac:dyDescent="0.25">
      <c r="A34" s="37">
        <v>2022</v>
      </c>
      <c r="B34">
        <v>50880</v>
      </c>
      <c r="C34" s="11">
        <v>455.07700299999999</v>
      </c>
      <c r="D34" s="11">
        <v>160.00292300000001</v>
      </c>
      <c r="E34" s="11">
        <v>0.57652999999999999</v>
      </c>
      <c r="F34" s="11">
        <v>7.0559789999999998</v>
      </c>
      <c r="G34" s="11">
        <v>1.3313969999999999</v>
      </c>
      <c r="H34" s="11">
        <v>1.27393</v>
      </c>
      <c r="I34" s="11">
        <v>37.366534999999999</v>
      </c>
      <c r="J34" s="11">
        <v>2.9219369999999998</v>
      </c>
      <c r="K34" s="11">
        <v>0</v>
      </c>
      <c r="L34" s="11">
        <v>1.5498799999999999</v>
      </c>
      <c r="M34" s="11">
        <v>2.529655</v>
      </c>
      <c r="N34" s="11">
        <v>214.492671</v>
      </c>
      <c r="O34" s="11">
        <v>86.095238999999992</v>
      </c>
      <c r="P34" s="11">
        <v>2.211999</v>
      </c>
      <c r="Q34" s="11">
        <v>5.8093369999999993</v>
      </c>
      <c r="R34" s="11">
        <v>37.991293999999996</v>
      </c>
      <c r="S34" s="38" t="s">
        <v>161</v>
      </c>
      <c r="T34" s="1">
        <v>1133.422284</v>
      </c>
      <c r="U34" s="1">
        <v>66.908524</v>
      </c>
      <c r="V34" s="1">
        <v>0</v>
      </c>
      <c r="W34" s="1">
        <v>5.004677</v>
      </c>
      <c r="X34" s="1">
        <v>0</v>
      </c>
      <c r="Y34" s="1">
        <v>1.4583059999999999</v>
      </c>
      <c r="Z34" s="1">
        <v>149.55615899999998</v>
      </c>
      <c r="AA34" s="1">
        <v>8.1081140000000005</v>
      </c>
      <c r="AB34" s="1">
        <v>2.7661699999999998</v>
      </c>
      <c r="AC34" s="1">
        <v>2.42</v>
      </c>
      <c r="AD34" s="1">
        <v>25.180177999999998</v>
      </c>
      <c r="AE34" s="1">
        <v>415.29869699999995</v>
      </c>
      <c r="AF34" s="1">
        <v>116.054818</v>
      </c>
      <c r="AG34" s="1">
        <v>0</v>
      </c>
      <c r="AH34" s="1">
        <v>245.78970200000001</v>
      </c>
      <c r="AI34" s="1">
        <v>16.866880999999999</v>
      </c>
    </row>
    <row r="35" spans="1:35" x14ac:dyDescent="0.25">
      <c r="A35" s="37">
        <v>2022</v>
      </c>
      <c r="B35">
        <v>50906</v>
      </c>
      <c r="C35" s="11">
        <v>144.36592100000001</v>
      </c>
      <c r="D35" s="11">
        <v>61.779329999999995</v>
      </c>
      <c r="E35" s="11">
        <v>0</v>
      </c>
      <c r="F35" s="11">
        <v>0</v>
      </c>
      <c r="G35" s="11">
        <v>0</v>
      </c>
      <c r="H35" s="11">
        <v>0</v>
      </c>
      <c r="I35" s="11">
        <v>20.770948999999998</v>
      </c>
      <c r="J35" s="11">
        <v>0.5</v>
      </c>
      <c r="K35" s="11">
        <v>0</v>
      </c>
      <c r="L35" s="11">
        <v>0</v>
      </c>
      <c r="M35" s="11">
        <v>1.5</v>
      </c>
      <c r="N35" s="11">
        <v>60.042400999999998</v>
      </c>
      <c r="O35" s="11">
        <v>19.140059999999998</v>
      </c>
      <c r="P35" s="11">
        <v>0</v>
      </c>
      <c r="Q35" s="11">
        <v>49.259212999999995</v>
      </c>
      <c r="R35" s="11">
        <v>0</v>
      </c>
      <c r="S35" s="38" t="s">
        <v>163</v>
      </c>
      <c r="T35" s="1">
        <v>584.65274499999998</v>
      </c>
      <c r="U35" s="1">
        <v>457.723071</v>
      </c>
      <c r="V35" s="1">
        <v>0</v>
      </c>
      <c r="W35" s="1">
        <v>0</v>
      </c>
      <c r="X35" s="1">
        <v>0</v>
      </c>
      <c r="Y35" s="1">
        <v>1.261109</v>
      </c>
      <c r="Z35" s="1">
        <v>124.19119499999999</v>
      </c>
      <c r="AA35" s="1">
        <v>1.6756610000000001</v>
      </c>
      <c r="AB35" s="1">
        <v>0.28000000000000003</v>
      </c>
      <c r="AC35" s="1">
        <v>4.924544</v>
      </c>
      <c r="AD35" s="1">
        <v>7.2998989999999999</v>
      </c>
      <c r="AE35" s="1">
        <v>143.208045</v>
      </c>
      <c r="AF35" s="1">
        <v>33.399856</v>
      </c>
      <c r="AG35" s="1">
        <v>0</v>
      </c>
      <c r="AH35" s="1">
        <v>5.6349640000000001</v>
      </c>
      <c r="AI35" s="1">
        <v>0</v>
      </c>
    </row>
    <row r="36" spans="1:35" x14ac:dyDescent="0.25">
      <c r="A36" s="37">
        <v>2022</v>
      </c>
      <c r="B36">
        <v>50906</v>
      </c>
      <c r="C36" s="11">
        <v>159.791821</v>
      </c>
      <c r="D36" s="11">
        <v>59.647965999999997</v>
      </c>
      <c r="E36" s="11">
        <v>0</v>
      </c>
      <c r="F36" s="11">
        <v>0</v>
      </c>
      <c r="G36" s="11">
        <v>0</v>
      </c>
      <c r="H36" s="11">
        <v>0</v>
      </c>
      <c r="I36" s="11">
        <v>23.534917</v>
      </c>
      <c r="J36" s="11">
        <v>0.5</v>
      </c>
      <c r="K36" s="11">
        <v>0</v>
      </c>
      <c r="L36" s="11">
        <v>0.61452499999999999</v>
      </c>
      <c r="M36" s="11">
        <v>1.5</v>
      </c>
      <c r="N36" s="11">
        <v>65.740538999999998</v>
      </c>
      <c r="O36" s="11">
        <v>23.910454999999999</v>
      </c>
      <c r="P36" s="11">
        <v>0</v>
      </c>
      <c r="Q36" s="11">
        <v>51.528334000000001</v>
      </c>
      <c r="R36" s="11">
        <v>0</v>
      </c>
      <c r="S36" s="38" t="s">
        <v>165</v>
      </c>
      <c r="T36" s="1">
        <v>665.88410400000009</v>
      </c>
      <c r="U36" s="1">
        <v>168.793578</v>
      </c>
      <c r="V36" s="1">
        <v>0</v>
      </c>
      <c r="W36" s="1">
        <v>17.094971999999999</v>
      </c>
      <c r="X36" s="1">
        <v>0</v>
      </c>
      <c r="Y36" s="1">
        <v>1</v>
      </c>
      <c r="Z36" s="1">
        <v>115.13213699999999</v>
      </c>
      <c r="AA36" s="1">
        <v>1.829167</v>
      </c>
      <c r="AB36" s="1">
        <v>2.5</v>
      </c>
      <c r="AC36" s="1">
        <v>8.1921789999999994</v>
      </c>
      <c r="AD36" s="1">
        <v>4.9137430000000002</v>
      </c>
      <c r="AE36" s="1">
        <v>170.79974899999999</v>
      </c>
      <c r="AF36" s="1">
        <v>89.437893000000003</v>
      </c>
      <c r="AG36" s="1">
        <v>4.097556</v>
      </c>
      <c r="AH36" s="1">
        <v>220.530013</v>
      </c>
      <c r="AI36" s="1">
        <v>0</v>
      </c>
    </row>
    <row r="37" spans="1:35" x14ac:dyDescent="0.25">
      <c r="A37" s="37">
        <v>2022</v>
      </c>
      <c r="B37">
        <v>50922</v>
      </c>
      <c r="C37" s="11">
        <v>144.02033499999999</v>
      </c>
      <c r="D37" s="11">
        <v>27.407820999999998</v>
      </c>
      <c r="E37" s="11">
        <v>0</v>
      </c>
      <c r="F37" s="11">
        <v>0</v>
      </c>
      <c r="G37" s="11">
        <v>0</v>
      </c>
      <c r="H37" s="11">
        <v>0</v>
      </c>
      <c r="I37" s="11">
        <v>29.410613999999999</v>
      </c>
      <c r="J37" s="11">
        <v>2.1061449999999997</v>
      </c>
      <c r="K37" s="11">
        <v>0</v>
      </c>
      <c r="L37" s="11">
        <v>3.5828029999999997</v>
      </c>
      <c r="M37" s="11">
        <v>6.5</v>
      </c>
      <c r="N37" s="11">
        <v>75.934874999999991</v>
      </c>
      <c r="O37" s="11">
        <v>55.970208</v>
      </c>
      <c r="P37" s="11">
        <v>0</v>
      </c>
      <c r="Q37" s="11">
        <v>4.3484819999999997</v>
      </c>
      <c r="R37" s="11">
        <v>0</v>
      </c>
      <c r="S37" s="38" t="s">
        <v>167</v>
      </c>
      <c r="T37" s="1">
        <v>523.76502099999993</v>
      </c>
      <c r="U37" s="1">
        <v>523.76502099999993</v>
      </c>
      <c r="V37" s="1">
        <v>0</v>
      </c>
      <c r="W37" s="1">
        <v>0</v>
      </c>
      <c r="X37" s="1">
        <v>0</v>
      </c>
      <c r="Y37" s="1">
        <v>0</v>
      </c>
      <c r="Z37" s="1">
        <v>101.763628</v>
      </c>
      <c r="AA37" s="1">
        <v>4.8444940000000001</v>
      </c>
      <c r="AB37" s="1">
        <v>0</v>
      </c>
      <c r="AC37" s="1">
        <v>6</v>
      </c>
      <c r="AD37" s="1">
        <v>7.1324890000000005</v>
      </c>
      <c r="AE37" s="1">
        <v>155.70104599999999</v>
      </c>
      <c r="AF37" s="1">
        <v>101.98146799999999</v>
      </c>
      <c r="AG37" s="1">
        <v>0</v>
      </c>
      <c r="AH37" s="1">
        <v>211.60600999999997</v>
      </c>
      <c r="AI37" s="1">
        <v>0</v>
      </c>
    </row>
    <row r="38" spans="1:35" x14ac:dyDescent="0.25">
      <c r="A38" s="37">
        <v>2022</v>
      </c>
      <c r="B38">
        <v>50922</v>
      </c>
      <c r="C38" s="11">
        <v>201.84187499999999</v>
      </c>
      <c r="D38" s="11">
        <v>26.957056999999999</v>
      </c>
      <c r="E38" s="11">
        <v>0</v>
      </c>
      <c r="F38" s="11">
        <v>0</v>
      </c>
      <c r="G38" s="11">
        <v>0</v>
      </c>
      <c r="H38" s="11">
        <v>0</v>
      </c>
      <c r="I38" s="11">
        <v>39.662011</v>
      </c>
      <c r="J38" s="11">
        <v>2.9469279999999998</v>
      </c>
      <c r="K38" s="11">
        <v>0.5</v>
      </c>
      <c r="L38" s="11">
        <v>1.5</v>
      </c>
      <c r="M38" s="11">
        <v>5.1117319999999999</v>
      </c>
      <c r="N38" s="11">
        <v>89.149542999999994</v>
      </c>
      <c r="O38" s="11">
        <v>80.811938999999995</v>
      </c>
      <c r="P38" s="11">
        <v>0</v>
      </c>
      <c r="Q38" s="11">
        <v>23.485906</v>
      </c>
      <c r="R38" s="11">
        <v>0</v>
      </c>
      <c r="S38" s="38" t="s">
        <v>169</v>
      </c>
      <c r="T38" s="1">
        <v>886.17244299999993</v>
      </c>
      <c r="U38" s="1">
        <v>327.97733699999998</v>
      </c>
      <c r="V38" s="1">
        <v>0</v>
      </c>
      <c r="W38" s="1">
        <v>0</v>
      </c>
      <c r="X38" s="1">
        <v>0</v>
      </c>
      <c r="Y38" s="1">
        <v>1</v>
      </c>
      <c r="Z38" s="1">
        <v>193.31731500000001</v>
      </c>
      <c r="AA38" s="1">
        <v>20.323034</v>
      </c>
      <c r="AB38" s="1">
        <v>1</v>
      </c>
      <c r="AC38" s="1">
        <v>11</v>
      </c>
      <c r="AD38" s="1">
        <v>23.657302999999999</v>
      </c>
      <c r="AE38" s="1">
        <v>250.011912</v>
      </c>
      <c r="AF38" s="1">
        <v>132.14100099999999</v>
      </c>
      <c r="AG38" s="1">
        <v>0</v>
      </c>
      <c r="AH38" s="1">
        <v>389.64224899999999</v>
      </c>
      <c r="AI38" s="1">
        <v>0</v>
      </c>
    </row>
    <row r="39" spans="1:35" x14ac:dyDescent="0.25">
      <c r="A39" s="37">
        <v>2022</v>
      </c>
      <c r="B39">
        <v>50922</v>
      </c>
      <c r="C39" s="11">
        <v>6.5139659999999999</v>
      </c>
      <c r="D39" s="11">
        <v>2.0474859999999997</v>
      </c>
      <c r="E39" s="11">
        <v>0</v>
      </c>
      <c r="F39" s="11">
        <v>0</v>
      </c>
      <c r="G39" s="11">
        <v>0</v>
      </c>
      <c r="H39" s="11">
        <v>0</v>
      </c>
      <c r="I39" s="11">
        <v>0</v>
      </c>
      <c r="J39" s="11">
        <v>0</v>
      </c>
      <c r="K39" s="11">
        <v>0</v>
      </c>
      <c r="L39" s="11">
        <v>0</v>
      </c>
      <c r="M39" s="11">
        <v>0</v>
      </c>
      <c r="N39" s="11">
        <v>2.2051999999999999E-2</v>
      </c>
      <c r="O39" s="11">
        <v>0.99964199999999992</v>
      </c>
      <c r="P39" s="11">
        <v>1.125</v>
      </c>
      <c r="Q39" s="11">
        <v>0.13966499999999998</v>
      </c>
      <c r="R39" s="11">
        <v>0</v>
      </c>
      <c r="S39" s="38" t="s">
        <v>171</v>
      </c>
      <c r="T39" s="1">
        <v>940.19137599999999</v>
      </c>
      <c r="U39" s="1">
        <v>209.391051</v>
      </c>
      <c r="V39" s="1">
        <v>0</v>
      </c>
      <c r="W39" s="1">
        <v>12.5</v>
      </c>
      <c r="X39" s="1">
        <v>1</v>
      </c>
      <c r="Y39" s="1">
        <v>1</v>
      </c>
      <c r="Z39" s="1">
        <v>208.42997000000003</v>
      </c>
      <c r="AA39" s="1">
        <v>6.139869</v>
      </c>
      <c r="AB39" s="1">
        <v>0</v>
      </c>
      <c r="AC39" s="1">
        <v>9.0502789999999997</v>
      </c>
      <c r="AD39" s="1">
        <v>17.223649000000002</v>
      </c>
      <c r="AE39" s="1">
        <v>295.82620599999996</v>
      </c>
      <c r="AF39" s="1">
        <v>125.698525</v>
      </c>
      <c r="AG39" s="1">
        <v>12.015202</v>
      </c>
      <c r="AH39" s="1">
        <v>243.28768700000001</v>
      </c>
      <c r="AI39" s="1">
        <v>5.6710329999999995</v>
      </c>
    </row>
    <row r="40" spans="1:35" x14ac:dyDescent="0.25">
      <c r="A40" s="37">
        <v>2022</v>
      </c>
      <c r="B40">
        <v>50922</v>
      </c>
      <c r="C40" s="11">
        <v>8.8302560000000003</v>
      </c>
      <c r="D40" s="11">
        <v>2.4748600000000001</v>
      </c>
      <c r="E40" s="11">
        <v>0</v>
      </c>
      <c r="F40" s="11">
        <v>0</v>
      </c>
      <c r="G40" s="11">
        <v>0</v>
      </c>
      <c r="H40" s="11">
        <v>0</v>
      </c>
      <c r="I40" s="11">
        <v>0</v>
      </c>
      <c r="J40" s="11">
        <v>0</v>
      </c>
      <c r="K40" s="11">
        <v>0</v>
      </c>
      <c r="L40" s="11">
        <v>0</v>
      </c>
      <c r="M40" s="11">
        <v>0</v>
      </c>
      <c r="N40" s="11">
        <v>0</v>
      </c>
      <c r="O40" s="11">
        <v>0.34636800000000001</v>
      </c>
      <c r="P40" s="11">
        <v>0.61871500000000001</v>
      </c>
      <c r="Q40" s="11">
        <v>0</v>
      </c>
      <c r="R40" s="11">
        <v>0</v>
      </c>
      <c r="S40" s="38" t="s">
        <v>173</v>
      </c>
      <c r="T40" s="1">
        <v>543.30906000000004</v>
      </c>
      <c r="U40" s="1">
        <v>146.74698599999999</v>
      </c>
      <c r="V40" s="1">
        <v>0</v>
      </c>
      <c r="W40" s="1">
        <v>0</v>
      </c>
      <c r="X40" s="1">
        <v>0</v>
      </c>
      <c r="Y40" s="1">
        <v>1</v>
      </c>
      <c r="Z40" s="1">
        <v>86.167743000000002</v>
      </c>
      <c r="AA40" s="1">
        <v>3.5</v>
      </c>
      <c r="AB40" s="1">
        <v>0</v>
      </c>
      <c r="AC40" s="1">
        <v>4.1376150000000003</v>
      </c>
      <c r="AD40" s="1">
        <v>6.2752300000000005</v>
      </c>
      <c r="AE40" s="1">
        <v>180.24433199999999</v>
      </c>
      <c r="AF40" s="1">
        <v>62.687044</v>
      </c>
      <c r="AG40" s="1">
        <v>0</v>
      </c>
      <c r="AH40" s="1">
        <v>220.27655499999997</v>
      </c>
      <c r="AI40" s="1">
        <v>4.8231169999999999</v>
      </c>
    </row>
    <row r="41" spans="1:35" x14ac:dyDescent="0.25">
      <c r="A41" s="37">
        <v>2022</v>
      </c>
      <c r="B41">
        <v>50948</v>
      </c>
      <c r="C41" s="11">
        <v>210.39411100000001</v>
      </c>
      <c r="D41" s="11">
        <v>0</v>
      </c>
      <c r="E41" s="11">
        <v>0</v>
      </c>
      <c r="F41" s="11">
        <v>0</v>
      </c>
      <c r="G41" s="11">
        <v>0</v>
      </c>
      <c r="H41" s="11">
        <v>0.26</v>
      </c>
      <c r="I41" s="11">
        <v>35.372661000000001</v>
      </c>
      <c r="J41" s="11">
        <v>3</v>
      </c>
      <c r="K41" s="11">
        <v>0.5</v>
      </c>
      <c r="L41" s="11">
        <v>2.5</v>
      </c>
      <c r="M41" s="11">
        <v>5.6067409999999995</v>
      </c>
      <c r="N41" s="11">
        <v>0</v>
      </c>
      <c r="O41" s="11">
        <v>0</v>
      </c>
      <c r="P41" s="11">
        <v>0</v>
      </c>
      <c r="Q41" s="11">
        <v>0</v>
      </c>
      <c r="R41" s="11">
        <v>0</v>
      </c>
      <c r="S41" s="38" t="s">
        <v>175</v>
      </c>
      <c r="T41" s="1">
        <v>483.76264099999997</v>
      </c>
      <c r="U41" s="1">
        <v>138.53430900000001</v>
      </c>
      <c r="V41" s="1">
        <v>0</v>
      </c>
      <c r="W41" s="1">
        <v>0</v>
      </c>
      <c r="X41" s="1">
        <v>0</v>
      </c>
      <c r="Y41" s="1">
        <v>0</v>
      </c>
      <c r="Z41" s="1">
        <v>96.040737000000007</v>
      </c>
      <c r="AA41" s="1">
        <v>3</v>
      </c>
      <c r="AB41" s="1">
        <v>1.5</v>
      </c>
      <c r="AC41" s="1">
        <v>1</v>
      </c>
      <c r="AD41" s="1">
        <v>4.0195530000000002</v>
      </c>
      <c r="AE41" s="1">
        <v>172.003086</v>
      </c>
      <c r="AF41" s="1">
        <v>55.076900999999992</v>
      </c>
      <c r="AG41" s="1">
        <v>0</v>
      </c>
      <c r="AH41" s="1">
        <v>138.29854599999999</v>
      </c>
      <c r="AI41" s="1">
        <v>0</v>
      </c>
    </row>
    <row r="42" spans="1:35" x14ac:dyDescent="0.25">
      <c r="A42" s="37">
        <v>2022</v>
      </c>
      <c r="B42">
        <v>50948</v>
      </c>
      <c r="C42" s="11">
        <v>211.44002599999999</v>
      </c>
      <c r="D42" s="11">
        <v>0</v>
      </c>
      <c r="E42" s="11">
        <v>0</v>
      </c>
      <c r="F42" s="11">
        <v>0</v>
      </c>
      <c r="G42" s="11">
        <v>0</v>
      </c>
      <c r="H42" s="11">
        <v>0</v>
      </c>
      <c r="I42" s="11">
        <v>32.741566999999996</v>
      </c>
      <c r="J42" s="11">
        <v>2.5</v>
      </c>
      <c r="K42" s="11">
        <v>1.6300000000000001</v>
      </c>
      <c r="L42" s="11">
        <v>0</v>
      </c>
      <c r="M42" s="11">
        <v>5.1552809999999996</v>
      </c>
      <c r="N42" s="11">
        <v>0</v>
      </c>
      <c r="O42" s="11">
        <v>0</v>
      </c>
      <c r="P42" s="11">
        <v>0</v>
      </c>
      <c r="Q42" s="11">
        <v>0</v>
      </c>
      <c r="R42" s="11">
        <v>0</v>
      </c>
      <c r="S42" s="38" t="s">
        <v>177</v>
      </c>
      <c r="T42" s="1">
        <v>716.68451500000003</v>
      </c>
      <c r="U42" s="1">
        <v>230.52830099999997</v>
      </c>
      <c r="V42" s="1">
        <v>0</v>
      </c>
      <c r="W42" s="1">
        <v>5</v>
      </c>
      <c r="X42" s="1">
        <v>0</v>
      </c>
      <c r="Y42" s="1">
        <v>0</v>
      </c>
      <c r="Z42" s="1">
        <v>140.48456999999999</v>
      </c>
      <c r="AA42" s="1">
        <v>10.686800999999999</v>
      </c>
      <c r="AB42" s="1">
        <v>1</v>
      </c>
      <c r="AC42" s="1">
        <v>3.2178769999999997</v>
      </c>
      <c r="AD42" s="1">
        <v>15.487318000000002</v>
      </c>
      <c r="AE42" s="1">
        <v>210.092647</v>
      </c>
      <c r="AF42" s="1">
        <v>96.535695000000004</v>
      </c>
      <c r="AG42" s="1">
        <v>0</v>
      </c>
      <c r="AH42" s="1">
        <v>217.08065399999998</v>
      </c>
      <c r="AI42" s="1">
        <v>0</v>
      </c>
    </row>
    <row r="43" spans="1:35" x14ac:dyDescent="0.25">
      <c r="A43" s="37">
        <v>2022</v>
      </c>
      <c r="B43">
        <v>50948</v>
      </c>
      <c r="C43" s="11">
        <v>38.661527999999997</v>
      </c>
      <c r="D43" s="11">
        <v>0</v>
      </c>
      <c r="E43" s="11">
        <v>0</v>
      </c>
      <c r="F43" s="11">
        <v>0</v>
      </c>
      <c r="G43" s="11">
        <v>0</v>
      </c>
      <c r="H43" s="11">
        <v>0</v>
      </c>
      <c r="I43" s="11">
        <v>1.54</v>
      </c>
      <c r="J43" s="11">
        <v>0.13</v>
      </c>
      <c r="K43" s="11">
        <v>0</v>
      </c>
      <c r="L43" s="11">
        <v>0</v>
      </c>
      <c r="M43" s="11">
        <v>0.37</v>
      </c>
      <c r="N43" s="11">
        <v>0</v>
      </c>
      <c r="O43" s="11">
        <v>0</v>
      </c>
      <c r="P43" s="11">
        <v>0</v>
      </c>
      <c r="Q43" s="11">
        <v>0</v>
      </c>
      <c r="R43" s="11">
        <v>0</v>
      </c>
      <c r="S43" s="38" t="s">
        <v>179</v>
      </c>
      <c r="T43" s="1">
        <v>658.68863799999997</v>
      </c>
      <c r="U43" s="1">
        <v>183.33035100000004</v>
      </c>
      <c r="V43" s="1">
        <v>0</v>
      </c>
      <c r="W43" s="1">
        <v>0</v>
      </c>
      <c r="X43" s="1">
        <v>0</v>
      </c>
      <c r="Y43" s="1">
        <v>0</v>
      </c>
      <c r="Z43" s="1">
        <v>128.35671199999999</v>
      </c>
      <c r="AA43" s="1">
        <v>7.7784089999999999</v>
      </c>
      <c r="AB43" s="1">
        <v>0</v>
      </c>
      <c r="AC43" s="1">
        <v>2.0284089999999999</v>
      </c>
      <c r="AD43" s="1">
        <v>5.1477269999999997</v>
      </c>
      <c r="AE43" s="1">
        <v>152.06850900000001</v>
      </c>
      <c r="AF43" s="1">
        <v>91.529084999999995</v>
      </c>
      <c r="AG43" s="1">
        <v>9.3333329999999997</v>
      </c>
      <c r="AH43" s="1">
        <v>166.785574</v>
      </c>
      <c r="AI43" s="1">
        <v>0</v>
      </c>
    </row>
    <row r="44" spans="1:35" x14ac:dyDescent="0.25">
      <c r="A44" s="37">
        <v>2022</v>
      </c>
      <c r="B44">
        <v>50948</v>
      </c>
      <c r="C44" s="11">
        <v>37.772897999999998</v>
      </c>
      <c r="D44" s="11">
        <v>0</v>
      </c>
      <c r="E44" s="11">
        <v>0</v>
      </c>
      <c r="F44" s="11">
        <v>0</v>
      </c>
      <c r="G44" s="11">
        <v>0</v>
      </c>
      <c r="H44" s="11">
        <v>0</v>
      </c>
      <c r="I44" s="11">
        <v>3.0108329999999999</v>
      </c>
      <c r="J44" s="11">
        <v>0</v>
      </c>
      <c r="K44" s="11">
        <v>0</v>
      </c>
      <c r="L44" s="11">
        <v>0</v>
      </c>
      <c r="M44" s="11">
        <v>0.13</v>
      </c>
      <c r="N44" s="11">
        <v>0</v>
      </c>
      <c r="O44" s="11">
        <v>0</v>
      </c>
      <c r="P44" s="11">
        <v>0</v>
      </c>
      <c r="Q44" s="11">
        <v>0</v>
      </c>
      <c r="R44" s="11">
        <v>0</v>
      </c>
      <c r="S44" s="38" t="s">
        <v>181</v>
      </c>
      <c r="T44" s="1">
        <v>446.42226699999998</v>
      </c>
      <c r="U44" s="1">
        <v>99.324607999999998</v>
      </c>
      <c r="V44" s="1">
        <v>0</v>
      </c>
      <c r="W44" s="1">
        <v>0</v>
      </c>
      <c r="X44" s="1">
        <v>0</v>
      </c>
      <c r="Y44" s="1">
        <v>0</v>
      </c>
      <c r="Z44" s="1">
        <v>99.447973999999988</v>
      </c>
      <c r="AA44" s="1">
        <v>1.2359549999999999</v>
      </c>
      <c r="AB44" s="1">
        <v>2</v>
      </c>
      <c r="AC44" s="1">
        <v>0.12753899999999999</v>
      </c>
      <c r="AD44" s="1">
        <v>3.9711559999999997</v>
      </c>
      <c r="AE44" s="1">
        <v>114.864873</v>
      </c>
      <c r="AF44" s="1">
        <v>76.495564000000002</v>
      </c>
      <c r="AG44" s="1">
        <v>5.9773829999999997</v>
      </c>
      <c r="AH44" s="1">
        <v>134.58932000000001</v>
      </c>
      <c r="AI44" s="1">
        <v>0</v>
      </c>
    </row>
    <row r="45" spans="1:35" x14ac:dyDescent="0.25">
      <c r="A45" s="37">
        <v>2022</v>
      </c>
      <c r="B45">
        <v>50948</v>
      </c>
      <c r="C45" s="11">
        <v>40.189181999999995</v>
      </c>
      <c r="D45" s="11">
        <v>0</v>
      </c>
      <c r="E45" s="11">
        <v>0</v>
      </c>
      <c r="F45" s="11">
        <v>0</v>
      </c>
      <c r="G45" s="11">
        <v>0</v>
      </c>
      <c r="H45" s="11">
        <v>0</v>
      </c>
      <c r="I45" s="11">
        <v>2.978631</v>
      </c>
      <c r="J45" s="11">
        <v>0</v>
      </c>
      <c r="K45" s="11">
        <v>0</v>
      </c>
      <c r="L45" s="11">
        <v>0</v>
      </c>
      <c r="M45" s="11">
        <v>0.27559600000000001</v>
      </c>
      <c r="N45" s="11">
        <v>0</v>
      </c>
      <c r="O45" s="11">
        <v>0</v>
      </c>
      <c r="P45" s="11">
        <v>0</v>
      </c>
      <c r="Q45" s="11">
        <v>0</v>
      </c>
      <c r="R45" s="11">
        <v>0</v>
      </c>
      <c r="S45" s="38" t="s">
        <v>183</v>
      </c>
      <c r="T45" s="1">
        <v>617.88153899999998</v>
      </c>
      <c r="U45" s="1">
        <v>597.1354</v>
      </c>
      <c r="V45" s="1">
        <v>0</v>
      </c>
      <c r="W45" s="1">
        <v>0</v>
      </c>
      <c r="X45" s="1">
        <v>0</v>
      </c>
      <c r="Y45" s="1">
        <v>0.97209299999999998</v>
      </c>
      <c r="Z45" s="1">
        <v>85.276079999999993</v>
      </c>
      <c r="AA45" s="1">
        <v>5.4382869999999999</v>
      </c>
      <c r="AB45" s="1">
        <v>0.26</v>
      </c>
      <c r="AC45" s="1">
        <v>18.616990000000001</v>
      </c>
      <c r="AD45" s="1">
        <v>17.753415</v>
      </c>
      <c r="AE45" s="1">
        <v>202.42195099999998</v>
      </c>
      <c r="AF45" s="1">
        <v>81.128386999999989</v>
      </c>
      <c r="AG45" s="1">
        <v>1.96899</v>
      </c>
      <c r="AH45" s="1">
        <v>64.131390999999994</v>
      </c>
      <c r="AI45" s="1">
        <v>0</v>
      </c>
    </row>
    <row r="46" spans="1:35" x14ac:dyDescent="0.25">
      <c r="A46" s="37">
        <v>2022</v>
      </c>
      <c r="B46">
        <v>50948</v>
      </c>
      <c r="C46" s="11">
        <v>28.897630999999997</v>
      </c>
      <c r="D46" s="11">
        <v>0</v>
      </c>
      <c r="E46" s="11">
        <v>0</v>
      </c>
      <c r="F46" s="11">
        <v>0</v>
      </c>
      <c r="G46" s="11">
        <v>0</v>
      </c>
      <c r="H46" s="11">
        <v>0.22827399999999998</v>
      </c>
      <c r="I46" s="11">
        <v>1.434461</v>
      </c>
      <c r="J46" s="11">
        <v>9.8274E-2</v>
      </c>
      <c r="K46" s="11">
        <v>0</v>
      </c>
      <c r="L46" s="11">
        <v>0</v>
      </c>
      <c r="M46" s="11">
        <v>0.33976099999999998</v>
      </c>
      <c r="N46" s="11">
        <v>0</v>
      </c>
      <c r="O46" s="11">
        <v>0</v>
      </c>
      <c r="P46" s="11">
        <v>0</v>
      </c>
      <c r="Q46" s="11">
        <v>0</v>
      </c>
      <c r="R46" s="11">
        <v>0</v>
      </c>
      <c r="S46" s="38" t="s">
        <v>187</v>
      </c>
      <c r="T46" s="1">
        <v>1383.426387</v>
      </c>
      <c r="U46" s="1">
        <v>323.95529799999997</v>
      </c>
      <c r="V46" s="1">
        <v>0.14000000000000001</v>
      </c>
      <c r="W46" s="1">
        <v>0</v>
      </c>
      <c r="X46" s="1">
        <v>0</v>
      </c>
      <c r="Y46" s="1">
        <v>0.170816</v>
      </c>
      <c r="Z46" s="1">
        <v>214.15609099999998</v>
      </c>
      <c r="AA46" s="1">
        <v>5.9770909999999997</v>
      </c>
      <c r="AB46" s="1">
        <v>0.53</v>
      </c>
      <c r="AC46" s="1">
        <v>15.02</v>
      </c>
      <c r="AD46" s="1">
        <v>21.732367</v>
      </c>
      <c r="AE46" s="1">
        <v>459.63007499999998</v>
      </c>
      <c r="AF46" s="1">
        <v>134.773065</v>
      </c>
      <c r="AG46" s="1">
        <v>37.219105999999996</v>
      </c>
      <c r="AH46" s="1">
        <v>348.88448500000004</v>
      </c>
      <c r="AI46" s="1">
        <v>75.609092999999987</v>
      </c>
    </row>
    <row r="47" spans="1:35" x14ac:dyDescent="0.25">
      <c r="A47" s="37">
        <v>2022</v>
      </c>
      <c r="B47">
        <v>50963</v>
      </c>
      <c r="C47" s="11">
        <v>1.5511679999999999</v>
      </c>
      <c r="D47" s="11">
        <v>0.38779199999999997</v>
      </c>
      <c r="E47" s="11">
        <v>0</v>
      </c>
      <c r="F47" s="11">
        <v>0</v>
      </c>
      <c r="G47" s="11">
        <v>0</v>
      </c>
      <c r="H47" s="11">
        <v>0</v>
      </c>
      <c r="I47" s="11">
        <v>0</v>
      </c>
      <c r="J47" s="11">
        <v>0</v>
      </c>
      <c r="K47" s="11">
        <v>0</v>
      </c>
      <c r="L47" s="11">
        <v>0</v>
      </c>
      <c r="M47" s="11">
        <v>0</v>
      </c>
      <c r="N47" s="11">
        <v>0.66665999999999992</v>
      </c>
      <c r="O47" s="11">
        <v>0</v>
      </c>
      <c r="P47" s="11">
        <v>0</v>
      </c>
      <c r="Q47" s="11">
        <v>0</v>
      </c>
      <c r="R47" s="11">
        <v>0</v>
      </c>
      <c r="S47" s="38" t="s">
        <v>189</v>
      </c>
      <c r="T47" s="1">
        <v>414.06575099999998</v>
      </c>
      <c r="U47" s="1">
        <v>107.60821899999999</v>
      </c>
      <c r="V47" s="1">
        <v>0</v>
      </c>
      <c r="W47" s="1">
        <v>0</v>
      </c>
      <c r="X47" s="1">
        <v>0</v>
      </c>
      <c r="Y47" s="1">
        <v>1.4256349999999998</v>
      </c>
      <c r="Z47" s="1">
        <v>76.836636999999996</v>
      </c>
      <c r="AA47" s="1">
        <v>4.1721589999999997</v>
      </c>
      <c r="AB47" s="1">
        <v>1.092093</v>
      </c>
      <c r="AC47" s="1">
        <v>0.65</v>
      </c>
      <c r="AD47" s="1">
        <v>5.0363639999999998</v>
      </c>
      <c r="AE47" s="1">
        <v>113.36482799999999</v>
      </c>
      <c r="AF47" s="1">
        <v>51.425435999999991</v>
      </c>
      <c r="AG47" s="1">
        <v>0</v>
      </c>
      <c r="AH47" s="1">
        <v>108.03846799999999</v>
      </c>
      <c r="AI47" s="1">
        <v>0</v>
      </c>
    </row>
    <row r="48" spans="1:35" x14ac:dyDescent="0.25">
      <c r="A48" s="37">
        <v>2022</v>
      </c>
      <c r="B48">
        <v>50963</v>
      </c>
      <c r="C48" s="11">
        <v>16.636343</v>
      </c>
      <c r="D48" s="11">
        <v>1.7999479999999999</v>
      </c>
      <c r="E48" s="11">
        <v>0</v>
      </c>
      <c r="F48" s="11">
        <v>0</v>
      </c>
      <c r="G48" s="11">
        <v>0</v>
      </c>
      <c r="H48" s="11">
        <v>0</v>
      </c>
      <c r="I48" s="11">
        <v>2.3372999999999999</v>
      </c>
      <c r="J48" s="11">
        <v>0</v>
      </c>
      <c r="K48" s="11">
        <v>0</v>
      </c>
      <c r="L48" s="11">
        <v>0</v>
      </c>
      <c r="M48" s="11">
        <v>8.979899999999999E-2</v>
      </c>
      <c r="N48" s="11">
        <v>10.257797</v>
      </c>
      <c r="O48" s="11">
        <v>0</v>
      </c>
      <c r="P48" s="11">
        <v>0</v>
      </c>
      <c r="Q48" s="11">
        <v>0</v>
      </c>
      <c r="R48" s="11">
        <v>0</v>
      </c>
      <c r="S48" s="38" t="s">
        <v>191</v>
      </c>
      <c r="T48" s="1">
        <v>369.28954199999998</v>
      </c>
      <c r="U48" s="1">
        <v>97.357381000000004</v>
      </c>
      <c r="V48" s="1">
        <v>0</v>
      </c>
      <c r="W48" s="1">
        <v>0</v>
      </c>
      <c r="X48" s="1">
        <v>0</v>
      </c>
      <c r="Y48" s="1">
        <v>0</v>
      </c>
      <c r="Z48" s="1">
        <v>38.086905999999999</v>
      </c>
      <c r="AA48" s="1">
        <v>1.4</v>
      </c>
      <c r="AB48" s="1">
        <v>0</v>
      </c>
      <c r="AC48" s="1">
        <v>1</v>
      </c>
      <c r="AD48" s="1">
        <v>4.4000000000000004</v>
      </c>
      <c r="AE48" s="1">
        <v>93.767128</v>
      </c>
      <c r="AF48" s="1">
        <v>123.61693099999999</v>
      </c>
      <c r="AG48" s="1">
        <v>0</v>
      </c>
      <c r="AH48" s="1">
        <v>0</v>
      </c>
      <c r="AI48" s="1">
        <v>0</v>
      </c>
    </row>
    <row r="49" spans="1:35" x14ac:dyDescent="0.25">
      <c r="A49" s="37">
        <v>2022</v>
      </c>
      <c r="B49">
        <v>50963</v>
      </c>
      <c r="C49" s="11">
        <v>14.780927</v>
      </c>
      <c r="D49" s="11">
        <v>1.8985269999999999</v>
      </c>
      <c r="E49" s="11">
        <v>0</v>
      </c>
      <c r="F49" s="11">
        <v>0.12926399999999999</v>
      </c>
      <c r="G49" s="11">
        <v>0</v>
      </c>
      <c r="H49" s="11">
        <v>0</v>
      </c>
      <c r="I49" s="11">
        <v>2.287792</v>
      </c>
      <c r="J49" s="11">
        <v>0</v>
      </c>
      <c r="K49" s="11">
        <v>0</v>
      </c>
      <c r="L49" s="11">
        <v>0</v>
      </c>
      <c r="M49" s="11">
        <v>0</v>
      </c>
      <c r="N49" s="11">
        <v>13.757719</v>
      </c>
      <c r="O49" s="11">
        <v>0</v>
      </c>
      <c r="P49" s="11">
        <v>0</v>
      </c>
      <c r="Q49" s="11">
        <v>0</v>
      </c>
      <c r="R49" s="11">
        <v>2.8688999999999999E-2</v>
      </c>
      <c r="S49" s="38" t="s">
        <v>193</v>
      </c>
      <c r="T49" s="1">
        <v>823.8875109999999</v>
      </c>
      <c r="U49" s="1">
        <v>96.113631999999996</v>
      </c>
      <c r="V49" s="1">
        <v>0</v>
      </c>
      <c r="W49" s="1">
        <v>19.428144</v>
      </c>
      <c r="X49" s="1">
        <v>0</v>
      </c>
      <c r="Y49" s="1">
        <v>1.1258159999999999</v>
      </c>
      <c r="Z49" s="1">
        <v>156.39192600000001</v>
      </c>
      <c r="AA49" s="1">
        <v>9.2035529999999994</v>
      </c>
      <c r="AB49" s="1">
        <v>0</v>
      </c>
      <c r="AC49" s="1">
        <v>1.5655969999999999</v>
      </c>
      <c r="AD49" s="1">
        <v>30.629807</v>
      </c>
      <c r="AE49" s="1">
        <v>249.08528699999999</v>
      </c>
      <c r="AF49" s="1">
        <v>157.43716699999999</v>
      </c>
      <c r="AG49" s="1">
        <v>5.4901840000000002</v>
      </c>
      <c r="AH49" s="1">
        <v>239.24102299999998</v>
      </c>
      <c r="AI49" s="1">
        <v>0</v>
      </c>
    </row>
    <row r="50" spans="1:35" x14ac:dyDescent="0.25">
      <c r="A50" s="37">
        <v>2022</v>
      </c>
      <c r="B50">
        <v>50963</v>
      </c>
      <c r="C50" s="11">
        <v>14.410945999999999</v>
      </c>
      <c r="D50" s="11">
        <v>2.868805</v>
      </c>
      <c r="E50" s="11">
        <v>0</v>
      </c>
      <c r="F50" s="11">
        <v>0</v>
      </c>
      <c r="G50" s="11">
        <v>0</v>
      </c>
      <c r="H50" s="11">
        <v>0</v>
      </c>
      <c r="I50" s="11">
        <v>1.7333349999999998</v>
      </c>
      <c r="J50" s="11">
        <v>0</v>
      </c>
      <c r="K50" s="11">
        <v>0</v>
      </c>
      <c r="L50" s="11">
        <v>0</v>
      </c>
      <c r="M50" s="11">
        <v>0.11</v>
      </c>
      <c r="N50" s="11">
        <v>13.754214999999999</v>
      </c>
      <c r="O50" s="11">
        <v>0</v>
      </c>
      <c r="P50" s="11">
        <v>0</v>
      </c>
      <c r="Q50" s="11">
        <v>0</v>
      </c>
      <c r="R50" s="11">
        <v>6.2294999999999996E-2</v>
      </c>
      <c r="S50" s="38" t="s">
        <v>195</v>
      </c>
      <c r="T50" s="1">
        <v>226.24888800000002</v>
      </c>
      <c r="U50" s="1">
        <v>97.552200999999997</v>
      </c>
      <c r="V50" s="1">
        <v>0.5</v>
      </c>
      <c r="W50" s="1">
        <v>0</v>
      </c>
      <c r="X50" s="1">
        <v>0</v>
      </c>
      <c r="Y50" s="1">
        <v>0</v>
      </c>
      <c r="Z50" s="1">
        <v>51.233470999999994</v>
      </c>
      <c r="AA50" s="1">
        <v>1.046243</v>
      </c>
      <c r="AB50" s="1">
        <v>0.5</v>
      </c>
      <c r="AC50" s="1">
        <v>5</v>
      </c>
      <c r="AD50" s="1">
        <v>8</v>
      </c>
      <c r="AE50" s="1">
        <v>68.714804000000001</v>
      </c>
      <c r="AF50" s="1">
        <v>28.338372999999997</v>
      </c>
      <c r="AG50" s="1">
        <v>0</v>
      </c>
      <c r="AH50" s="1">
        <v>65.504954999999995</v>
      </c>
      <c r="AI50" s="1">
        <v>0</v>
      </c>
    </row>
    <row r="51" spans="1:35" x14ac:dyDescent="0.25">
      <c r="A51" s="37">
        <v>2022</v>
      </c>
      <c r="B51">
        <v>50963</v>
      </c>
      <c r="C51" s="11">
        <v>423.03446500000001</v>
      </c>
      <c r="D51" s="11">
        <v>84.315685999999999</v>
      </c>
      <c r="E51" s="11">
        <v>0</v>
      </c>
      <c r="F51" s="11">
        <v>1</v>
      </c>
      <c r="G51" s="11">
        <v>0</v>
      </c>
      <c r="H51" s="11">
        <v>0</v>
      </c>
      <c r="I51" s="11">
        <v>106.70267699999999</v>
      </c>
      <c r="J51" s="11">
        <v>7</v>
      </c>
      <c r="K51" s="11">
        <v>0</v>
      </c>
      <c r="L51" s="11">
        <v>0.22</v>
      </c>
      <c r="M51" s="11">
        <v>5.278689</v>
      </c>
      <c r="N51" s="11">
        <v>134.39354600000001</v>
      </c>
      <c r="O51" s="11">
        <v>74.681978999999998</v>
      </c>
      <c r="P51" s="11">
        <v>0.357823</v>
      </c>
      <c r="Q51" s="11">
        <v>129.68704</v>
      </c>
      <c r="R51" s="11">
        <v>8.2657150000000001</v>
      </c>
      <c r="S51" s="38" t="s">
        <v>197</v>
      </c>
      <c r="T51" s="1">
        <v>545.74544400000002</v>
      </c>
      <c r="U51" s="1">
        <v>139.78444299999998</v>
      </c>
      <c r="V51" s="1">
        <v>0</v>
      </c>
      <c r="W51" s="1">
        <v>0</v>
      </c>
      <c r="X51" s="1">
        <v>0</v>
      </c>
      <c r="Y51" s="1">
        <v>0</v>
      </c>
      <c r="Z51" s="1">
        <v>109.55599799999999</v>
      </c>
      <c r="AA51" s="1">
        <v>5</v>
      </c>
      <c r="AB51" s="1">
        <v>0</v>
      </c>
      <c r="AC51" s="1">
        <v>5.73</v>
      </c>
      <c r="AD51" s="1">
        <v>11.920000000000002</v>
      </c>
      <c r="AE51" s="1">
        <v>166.67386199999999</v>
      </c>
      <c r="AF51" s="1">
        <v>82.733219999999989</v>
      </c>
      <c r="AG51" s="1">
        <v>0</v>
      </c>
      <c r="AH51" s="1">
        <v>174.34580099999999</v>
      </c>
      <c r="AI51" s="1">
        <v>0</v>
      </c>
    </row>
    <row r="52" spans="1:35" x14ac:dyDescent="0.25">
      <c r="A52" s="37">
        <v>2022</v>
      </c>
      <c r="B52">
        <v>50963</v>
      </c>
      <c r="C52" s="11">
        <v>504.35524400000003</v>
      </c>
      <c r="D52" s="11">
        <v>107.11085199999999</v>
      </c>
      <c r="E52" s="11">
        <v>0</v>
      </c>
      <c r="F52" s="11">
        <v>0.22</v>
      </c>
      <c r="G52" s="11">
        <v>0</v>
      </c>
      <c r="H52" s="11">
        <v>1</v>
      </c>
      <c r="I52" s="11">
        <v>113.72046399999999</v>
      </c>
      <c r="J52" s="11">
        <v>6.4999989999999999</v>
      </c>
      <c r="K52" s="11">
        <v>2.2000000000000002</v>
      </c>
      <c r="L52" s="11">
        <v>2</v>
      </c>
      <c r="M52" s="11">
        <v>12.978142</v>
      </c>
      <c r="N52" s="11">
        <v>136.848174</v>
      </c>
      <c r="O52" s="11">
        <v>77.150435000000002</v>
      </c>
      <c r="P52" s="11">
        <v>28.476531999999999</v>
      </c>
      <c r="Q52" s="11">
        <v>146.474693</v>
      </c>
      <c r="R52" s="11">
        <v>2.8186909999999998</v>
      </c>
      <c r="S52" s="18" t="s">
        <v>16</v>
      </c>
      <c r="T52" s="1">
        <v>43439.348918000011</v>
      </c>
      <c r="U52" s="1">
        <v>12667.624478000003</v>
      </c>
      <c r="V52" s="1">
        <v>7.6614509999999996</v>
      </c>
      <c r="W52" s="1">
        <v>223.77223799999999</v>
      </c>
      <c r="X52" s="1">
        <v>25.393325999999998</v>
      </c>
      <c r="Y52" s="1">
        <v>43.657828000000002</v>
      </c>
      <c r="Z52" s="1">
        <v>7218.3427329999977</v>
      </c>
      <c r="AA52" s="1">
        <v>386.83291999999994</v>
      </c>
      <c r="AB52" s="1">
        <v>39.170963999999998</v>
      </c>
      <c r="AC52" s="1">
        <v>263.98416900000007</v>
      </c>
      <c r="AD52" s="1">
        <v>765.88921399999958</v>
      </c>
      <c r="AE52" s="1">
        <v>13367.227618000001</v>
      </c>
      <c r="AF52" s="1">
        <v>6528.2233459999989</v>
      </c>
      <c r="AG52" s="1">
        <v>879.2560440000002</v>
      </c>
      <c r="AH52" s="1">
        <v>11862.540525</v>
      </c>
      <c r="AI52" s="1">
        <v>492.90668199999993</v>
      </c>
    </row>
    <row r="53" spans="1:35" x14ac:dyDescent="0.25">
      <c r="A53" s="37">
        <v>2022</v>
      </c>
      <c r="B53">
        <v>50989</v>
      </c>
      <c r="C53" s="11">
        <v>4.7090299999999994</v>
      </c>
      <c r="D53" s="11">
        <v>0.13</v>
      </c>
      <c r="E53" s="11">
        <v>0</v>
      </c>
      <c r="F53" s="11">
        <v>0</v>
      </c>
      <c r="G53" s="11">
        <v>0</v>
      </c>
      <c r="H53" s="11">
        <v>0.26</v>
      </c>
      <c r="I53" s="11">
        <v>0.39</v>
      </c>
      <c r="J53" s="11">
        <v>0</v>
      </c>
      <c r="K53" s="11">
        <v>0</v>
      </c>
      <c r="L53" s="11">
        <v>0</v>
      </c>
      <c r="M53" s="11">
        <v>0</v>
      </c>
      <c r="N53" s="11">
        <v>0</v>
      </c>
      <c r="O53" s="11">
        <v>0</v>
      </c>
      <c r="P53" s="11">
        <v>0</v>
      </c>
      <c r="Q53" s="11">
        <v>0</v>
      </c>
      <c r="R53" s="11">
        <v>0</v>
      </c>
    </row>
    <row r="54" spans="1:35" x14ac:dyDescent="0.25">
      <c r="A54" s="37">
        <v>2022</v>
      </c>
      <c r="B54">
        <v>50989</v>
      </c>
      <c r="C54" s="11">
        <v>25.581129999999998</v>
      </c>
      <c r="D54" s="11">
        <v>0.13</v>
      </c>
      <c r="E54" s="11">
        <v>0</v>
      </c>
      <c r="F54" s="11">
        <v>0</v>
      </c>
      <c r="G54" s="11">
        <v>0</v>
      </c>
      <c r="H54" s="11">
        <v>0</v>
      </c>
      <c r="I54" s="11">
        <v>1.538362</v>
      </c>
      <c r="J54" s="11">
        <v>0.13</v>
      </c>
      <c r="K54" s="11">
        <v>0</v>
      </c>
      <c r="L54" s="11">
        <v>0</v>
      </c>
      <c r="M54" s="11">
        <v>0</v>
      </c>
      <c r="N54" s="11">
        <v>2.6098749999999997</v>
      </c>
      <c r="O54" s="11">
        <v>0</v>
      </c>
      <c r="P54" s="11">
        <v>8.8888800000000003</v>
      </c>
      <c r="Q54" s="11">
        <v>0</v>
      </c>
      <c r="R54" s="11">
        <v>0</v>
      </c>
    </row>
    <row r="55" spans="1:35" x14ac:dyDescent="0.25">
      <c r="A55" s="37">
        <v>2022</v>
      </c>
      <c r="B55">
        <v>50989</v>
      </c>
      <c r="C55" s="11">
        <v>38.142251999999999</v>
      </c>
      <c r="D55" s="11">
        <v>3.6494939999999998</v>
      </c>
      <c r="E55" s="11">
        <v>0</v>
      </c>
      <c r="F55" s="11">
        <v>0</v>
      </c>
      <c r="G55" s="11">
        <v>0</v>
      </c>
      <c r="H55" s="11">
        <v>0</v>
      </c>
      <c r="I55" s="11">
        <v>4.6255959999999998</v>
      </c>
      <c r="J55" s="11">
        <v>0</v>
      </c>
      <c r="K55" s="11">
        <v>0</v>
      </c>
      <c r="L55" s="11">
        <v>0</v>
      </c>
      <c r="M55" s="11">
        <v>0.11742899999999999</v>
      </c>
      <c r="N55" s="11">
        <v>3.3357600000000001</v>
      </c>
      <c r="O55" s="11">
        <v>1.0416999999999999E-2</v>
      </c>
      <c r="P55" s="11">
        <v>16.444427999999998</v>
      </c>
      <c r="Q55" s="11">
        <v>1.0100419999999999</v>
      </c>
      <c r="R55" s="11">
        <v>0</v>
      </c>
    </row>
    <row r="56" spans="1:35" x14ac:dyDescent="0.25">
      <c r="A56" s="37">
        <v>2022</v>
      </c>
      <c r="B56">
        <v>50989</v>
      </c>
      <c r="C56" s="11">
        <v>32.924393000000002</v>
      </c>
      <c r="D56" s="11">
        <v>5.15</v>
      </c>
      <c r="E56" s="11">
        <v>0</v>
      </c>
      <c r="F56" s="11">
        <v>0.45</v>
      </c>
      <c r="G56" s="11">
        <v>0</v>
      </c>
      <c r="H56" s="11">
        <v>4.2856999999999999E-2</v>
      </c>
      <c r="I56" s="11">
        <v>3.8282859999999999</v>
      </c>
      <c r="J56" s="11">
        <v>0.31771499999999997</v>
      </c>
      <c r="K56" s="11">
        <v>0</v>
      </c>
      <c r="L56" s="11">
        <v>0</v>
      </c>
      <c r="M56" s="11">
        <v>0.54</v>
      </c>
      <c r="N56" s="11">
        <v>9.0326129999999996</v>
      </c>
      <c r="O56" s="11">
        <v>5.3872109999999997</v>
      </c>
      <c r="P56" s="11">
        <v>8.8000000000000007</v>
      </c>
      <c r="Q56" s="11">
        <v>2.2000000000000002</v>
      </c>
      <c r="R56" s="11">
        <v>0</v>
      </c>
    </row>
    <row r="57" spans="1:35" x14ac:dyDescent="0.25">
      <c r="A57" s="37">
        <v>2022</v>
      </c>
      <c r="B57">
        <v>50989</v>
      </c>
      <c r="C57" s="11">
        <v>39.866197999999997</v>
      </c>
      <c r="D57" s="11">
        <v>3.1295479999999998</v>
      </c>
      <c r="E57" s="11">
        <v>0</v>
      </c>
      <c r="F57" s="11">
        <v>0.15</v>
      </c>
      <c r="G57" s="11">
        <v>0.13</v>
      </c>
      <c r="H57" s="11">
        <v>0</v>
      </c>
      <c r="I57" s="11">
        <v>4.6405779999999996</v>
      </c>
      <c r="J57" s="11">
        <v>0.39</v>
      </c>
      <c r="K57" s="11">
        <v>0</v>
      </c>
      <c r="L57" s="11">
        <v>0</v>
      </c>
      <c r="M57" s="11">
        <v>0.39</v>
      </c>
      <c r="N57" s="11">
        <v>16.155438</v>
      </c>
      <c r="O57" s="11">
        <v>3.7232419999999999</v>
      </c>
      <c r="P57" s="11">
        <v>11.555543999999999</v>
      </c>
      <c r="Q57" s="11">
        <v>0</v>
      </c>
      <c r="R57" s="11">
        <v>0</v>
      </c>
    </row>
    <row r="58" spans="1:35" x14ac:dyDescent="0.25">
      <c r="A58" s="37">
        <v>2022</v>
      </c>
      <c r="B58">
        <v>50989</v>
      </c>
      <c r="C58" s="11">
        <v>324.53786700000001</v>
      </c>
      <c r="D58" s="11">
        <v>53.676446999999996</v>
      </c>
      <c r="E58" s="11">
        <v>0</v>
      </c>
      <c r="F58" s="11">
        <v>0.125143</v>
      </c>
      <c r="G58" s="11">
        <v>0</v>
      </c>
      <c r="H58" s="11">
        <v>0</v>
      </c>
      <c r="I58" s="11">
        <v>62.532013999999997</v>
      </c>
      <c r="J58" s="11">
        <v>5.0071209999999997</v>
      </c>
      <c r="K58" s="11">
        <v>0</v>
      </c>
      <c r="L58" s="11">
        <v>3</v>
      </c>
      <c r="M58" s="11">
        <v>11.522568999999999</v>
      </c>
      <c r="N58" s="11">
        <v>165.73385300000001</v>
      </c>
      <c r="O58" s="11">
        <v>50.500892</v>
      </c>
      <c r="P58" s="11">
        <v>0</v>
      </c>
      <c r="Q58" s="11">
        <v>76.509270000000001</v>
      </c>
      <c r="R58" s="11">
        <v>0</v>
      </c>
    </row>
    <row r="59" spans="1:35" x14ac:dyDescent="0.25">
      <c r="A59" s="37">
        <v>2022</v>
      </c>
      <c r="B59">
        <v>50989</v>
      </c>
      <c r="C59" s="11">
        <v>335.62669399999999</v>
      </c>
      <c r="D59" s="11">
        <v>57.034659999999995</v>
      </c>
      <c r="E59" s="11">
        <v>0</v>
      </c>
      <c r="F59" s="11">
        <v>0.12926099999999999</v>
      </c>
      <c r="G59" s="11">
        <v>0</v>
      </c>
      <c r="H59" s="11">
        <v>0</v>
      </c>
      <c r="I59" s="11">
        <v>58.375796999999999</v>
      </c>
      <c r="J59" s="11">
        <v>2.5</v>
      </c>
      <c r="K59" s="11">
        <v>0.5</v>
      </c>
      <c r="L59" s="11">
        <v>1.6292609999999998</v>
      </c>
      <c r="M59" s="11">
        <v>16.058237999999999</v>
      </c>
      <c r="N59" s="11">
        <v>182.95228900000001</v>
      </c>
      <c r="O59" s="11">
        <v>43.872157000000001</v>
      </c>
      <c r="P59" s="11">
        <v>0</v>
      </c>
      <c r="Q59" s="11">
        <v>58.318525999999999</v>
      </c>
      <c r="R59" s="11">
        <v>0</v>
      </c>
    </row>
    <row r="60" spans="1:35" x14ac:dyDescent="0.25">
      <c r="A60" s="37">
        <v>2022</v>
      </c>
      <c r="B60">
        <v>51003</v>
      </c>
      <c r="C60" s="11">
        <v>1.6400000000000001</v>
      </c>
      <c r="D60" s="11">
        <v>0</v>
      </c>
      <c r="E60" s="11">
        <v>0</v>
      </c>
      <c r="F60" s="11">
        <v>0</v>
      </c>
      <c r="G60" s="11">
        <v>0</v>
      </c>
      <c r="H60" s="11">
        <v>0</v>
      </c>
      <c r="I60" s="11">
        <v>0</v>
      </c>
      <c r="J60" s="11">
        <v>0</v>
      </c>
      <c r="K60" s="11">
        <v>0</v>
      </c>
      <c r="L60" s="11">
        <v>0</v>
      </c>
      <c r="M60" s="11">
        <v>0</v>
      </c>
      <c r="N60" s="11">
        <v>0</v>
      </c>
      <c r="O60" s="11">
        <v>0</v>
      </c>
      <c r="P60" s="11">
        <v>0</v>
      </c>
      <c r="Q60" s="11">
        <v>0</v>
      </c>
      <c r="R60" s="11">
        <v>0</v>
      </c>
    </row>
    <row r="61" spans="1:35" x14ac:dyDescent="0.25">
      <c r="A61" s="37">
        <v>2022</v>
      </c>
      <c r="B61">
        <v>51003</v>
      </c>
      <c r="C61" s="11">
        <v>26.558076999999997</v>
      </c>
      <c r="D61" s="11">
        <v>0</v>
      </c>
      <c r="E61" s="11">
        <v>0</v>
      </c>
      <c r="F61" s="11">
        <v>0</v>
      </c>
      <c r="G61" s="11">
        <v>0</v>
      </c>
      <c r="H61" s="11">
        <v>0.15</v>
      </c>
      <c r="I61" s="11">
        <v>2.293555</v>
      </c>
      <c r="J61" s="11">
        <v>0</v>
      </c>
      <c r="K61" s="11">
        <v>0</v>
      </c>
      <c r="L61" s="11">
        <v>0</v>
      </c>
      <c r="M61" s="11">
        <v>0.75</v>
      </c>
      <c r="N61" s="11">
        <v>0</v>
      </c>
      <c r="O61" s="11">
        <v>0</v>
      </c>
      <c r="P61" s="11">
        <v>0</v>
      </c>
      <c r="Q61" s="11">
        <v>16.450272999999999</v>
      </c>
      <c r="R61" s="11">
        <v>0</v>
      </c>
    </row>
    <row r="62" spans="1:35" x14ac:dyDescent="0.25">
      <c r="A62" s="37">
        <v>2022</v>
      </c>
      <c r="B62">
        <v>51003</v>
      </c>
      <c r="C62" s="11">
        <v>4.1399999999999997</v>
      </c>
      <c r="D62" s="11">
        <v>0.3</v>
      </c>
      <c r="E62" s="11">
        <v>0</v>
      </c>
      <c r="F62" s="11">
        <v>0</v>
      </c>
      <c r="G62" s="11">
        <v>0</v>
      </c>
      <c r="H62" s="11">
        <v>0.15</v>
      </c>
      <c r="I62" s="11">
        <v>0.297458</v>
      </c>
      <c r="J62" s="11">
        <v>0</v>
      </c>
      <c r="K62" s="11">
        <v>0</v>
      </c>
      <c r="L62" s="11">
        <v>0</v>
      </c>
      <c r="M62" s="11">
        <v>0</v>
      </c>
      <c r="N62" s="11">
        <v>0</v>
      </c>
      <c r="O62" s="11">
        <v>0</v>
      </c>
      <c r="P62" s="11">
        <v>0</v>
      </c>
      <c r="Q62" s="11">
        <v>0</v>
      </c>
      <c r="R62" s="11">
        <v>0</v>
      </c>
    </row>
    <row r="63" spans="1:35" x14ac:dyDescent="0.25">
      <c r="A63" s="37">
        <v>2022</v>
      </c>
      <c r="B63">
        <v>51003</v>
      </c>
      <c r="C63" s="11">
        <v>727.97790399999997</v>
      </c>
      <c r="D63" s="11">
        <v>166.96898399999998</v>
      </c>
      <c r="E63" s="11">
        <v>0</v>
      </c>
      <c r="F63" s="11">
        <v>0.93785299999999994</v>
      </c>
      <c r="G63" s="11">
        <v>0</v>
      </c>
      <c r="H63" s="11">
        <v>1</v>
      </c>
      <c r="I63" s="11">
        <v>111.73814400000001</v>
      </c>
      <c r="J63" s="11">
        <v>6.8308469999999994</v>
      </c>
      <c r="K63" s="11">
        <v>0</v>
      </c>
      <c r="L63" s="11">
        <v>0.5</v>
      </c>
      <c r="M63" s="11">
        <v>11.748135999999999</v>
      </c>
      <c r="N63" s="11">
        <v>202.91701699999999</v>
      </c>
      <c r="O63" s="11">
        <v>135.89262300000001</v>
      </c>
      <c r="P63" s="11">
        <v>0</v>
      </c>
      <c r="Q63" s="11">
        <v>259.76236499999999</v>
      </c>
      <c r="R63" s="11">
        <v>0</v>
      </c>
    </row>
    <row r="64" spans="1:35" x14ac:dyDescent="0.25">
      <c r="A64" s="37">
        <v>2022</v>
      </c>
      <c r="B64">
        <v>51003</v>
      </c>
      <c r="C64" s="11">
        <v>678.73323400000004</v>
      </c>
      <c r="D64" s="11">
        <v>165.97875199999999</v>
      </c>
      <c r="E64" s="11">
        <v>0</v>
      </c>
      <c r="F64" s="11">
        <v>30.027930999999999</v>
      </c>
      <c r="G64" s="11">
        <v>0</v>
      </c>
      <c r="H64" s="11">
        <v>0</v>
      </c>
      <c r="I64" s="11">
        <v>94.417290999999992</v>
      </c>
      <c r="J64" s="11">
        <v>3.8285709999999997</v>
      </c>
      <c r="K64" s="11">
        <v>0</v>
      </c>
      <c r="L64" s="11">
        <v>7.5</v>
      </c>
      <c r="M64" s="11">
        <v>7.3514289999999995</v>
      </c>
      <c r="N64" s="11">
        <v>186.772256</v>
      </c>
      <c r="O64" s="11">
        <v>107.308452</v>
      </c>
      <c r="P64" s="11">
        <v>0</v>
      </c>
      <c r="Q64" s="11">
        <v>195.61722700000001</v>
      </c>
      <c r="R64" s="11">
        <v>0</v>
      </c>
    </row>
    <row r="65" spans="1:18" x14ac:dyDescent="0.25">
      <c r="A65" s="37">
        <v>2022</v>
      </c>
      <c r="B65">
        <v>51029</v>
      </c>
      <c r="C65" s="11">
        <v>1</v>
      </c>
      <c r="D65" s="11">
        <v>0</v>
      </c>
      <c r="E65" s="11">
        <v>0</v>
      </c>
      <c r="F65" s="11">
        <v>0</v>
      </c>
      <c r="G65" s="11">
        <v>0</v>
      </c>
      <c r="H65" s="11">
        <v>0</v>
      </c>
      <c r="I65" s="11">
        <v>0</v>
      </c>
      <c r="J65" s="11">
        <v>0</v>
      </c>
      <c r="K65" s="11">
        <v>0</v>
      </c>
      <c r="L65" s="11">
        <v>0</v>
      </c>
      <c r="M65" s="11">
        <v>0</v>
      </c>
      <c r="N65" s="11">
        <v>0</v>
      </c>
      <c r="O65" s="11">
        <v>0</v>
      </c>
      <c r="P65" s="11">
        <v>9.090899999999999E-2</v>
      </c>
      <c r="Q65" s="11">
        <v>0.73737299999999995</v>
      </c>
      <c r="R65" s="11">
        <v>0</v>
      </c>
    </row>
    <row r="66" spans="1:18" x14ac:dyDescent="0.25">
      <c r="A66" s="37">
        <v>2022</v>
      </c>
      <c r="B66">
        <v>51029</v>
      </c>
      <c r="C66" s="11">
        <v>288.16999299999998</v>
      </c>
      <c r="D66" s="11">
        <v>61.085591999999998</v>
      </c>
      <c r="E66" s="11">
        <v>0</v>
      </c>
      <c r="F66" s="11">
        <v>0</v>
      </c>
      <c r="G66" s="11">
        <v>0</v>
      </c>
      <c r="H66" s="11">
        <v>0</v>
      </c>
      <c r="I66" s="11">
        <v>54.692655999999999</v>
      </c>
      <c r="J66" s="11">
        <v>0.183256</v>
      </c>
      <c r="K66" s="11">
        <v>0.96098299999999992</v>
      </c>
      <c r="L66" s="11">
        <v>2.5</v>
      </c>
      <c r="M66" s="11">
        <v>2.78721</v>
      </c>
      <c r="N66" s="11">
        <v>83.664923999999999</v>
      </c>
      <c r="O66" s="11">
        <v>61.880100999999996</v>
      </c>
      <c r="P66" s="11">
        <v>3.0535079999999999</v>
      </c>
      <c r="Q66" s="11">
        <v>82.150159000000002</v>
      </c>
      <c r="R66" s="11">
        <v>0</v>
      </c>
    </row>
    <row r="67" spans="1:18" x14ac:dyDescent="0.25">
      <c r="A67" s="37">
        <v>2022</v>
      </c>
      <c r="B67">
        <v>51029</v>
      </c>
      <c r="C67" s="11">
        <v>97.612647999999993</v>
      </c>
      <c r="D67" s="11">
        <v>22.740836999999999</v>
      </c>
      <c r="E67" s="11">
        <v>0</v>
      </c>
      <c r="F67" s="11">
        <v>0</v>
      </c>
      <c r="G67" s="11">
        <v>0</v>
      </c>
      <c r="H67" s="11">
        <v>0</v>
      </c>
      <c r="I67" s="11">
        <v>24.147476999999999</v>
      </c>
      <c r="J67" s="11">
        <v>0</v>
      </c>
      <c r="K67" s="11">
        <v>0</v>
      </c>
      <c r="L67" s="11">
        <v>0</v>
      </c>
      <c r="M67" s="11">
        <v>0</v>
      </c>
      <c r="N67" s="11">
        <v>12.061363999999999</v>
      </c>
      <c r="O67" s="11">
        <v>0</v>
      </c>
      <c r="P67" s="11">
        <v>33.004416999999997</v>
      </c>
      <c r="Q67" s="11">
        <v>45.850741999999997</v>
      </c>
      <c r="R67" s="11">
        <v>0</v>
      </c>
    </row>
    <row r="68" spans="1:18" x14ac:dyDescent="0.25">
      <c r="A68" s="37">
        <v>2022</v>
      </c>
      <c r="B68">
        <v>51029</v>
      </c>
      <c r="C68" s="11">
        <v>357.56582400000002</v>
      </c>
      <c r="D68" s="11">
        <v>80.911732000000001</v>
      </c>
      <c r="E68" s="11">
        <v>0</v>
      </c>
      <c r="F68" s="11">
        <v>0</v>
      </c>
      <c r="G68" s="11">
        <v>0</v>
      </c>
      <c r="H68" s="11">
        <v>0</v>
      </c>
      <c r="I68" s="11">
        <v>60.686319999999995</v>
      </c>
      <c r="J68" s="11">
        <v>2.5</v>
      </c>
      <c r="K68" s="11">
        <v>0</v>
      </c>
      <c r="L68" s="11">
        <v>0.75</v>
      </c>
      <c r="M68" s="11">
        <v>4</v>
      </c>
      <c r="N68" s="11">
        <v>78.634974</v>
      </c>
      <c r="O68" s="11">
        <v>85.412258999999992</v>
      </c>
      <c r="P68" s="11">
        <v>1.2965719999999998</v>
      </c>
      <c r="Q68" s="11">
        <v>147.146411</v>
      </c>
      <c r="R68" s="11">
        <v>0</v>
      </c>
    </row>
    <row r="69" spans="1:18" x14ac:dyDescent="0.25">
      <c r="A69" s="37">
        <v>2022</v>
      </c>
      <c r="B69">
        <v>51045</v>
      </c>
      <c r="C69" s="11">
        <v>449.71982400000002</v>
      </c>
      <c r="D69" s="11">
        <v>68.071022999999997</v>
      </c>
      <c r="E69" s="11">
        <v>0</v>
      </c>
      <c r="F69" s="11">
        <v>0.125</v>
      </c>
      <c r="G69" s="11">
        <v>0</v>
      </c>
      <c r="H69" s="11">
        <v>0</v>
      </c>
      <c r="I69" s="11">
        <v>84.843305000000001</v>
      </c>
      <c r="J69" s="11">
        <v>7.0302479999999994</v>
      </c>
      <c r="K69" s="11">
        <v>1</v>
      </c>
      <c r="L69" s="11">
        <v>7.2975000000000003</v>
      </c>
      <c r="M69" s="11">
        <v>22.040512</v>
      </c>
      <c r="N69" s="11">
        <v>122.66049599999999</v>
      </c>
      <c r="O69" s="11">
        <v>71.679543999999993</v>
      </c>
      <c r="P69" s="11">
        <v>25.654005999999999</v>
      </c>
      <c r="Q69" s="11">
        <v>130.925285</v>
      </c>
      <c r="R69" s="11">
        <v>7.7828809999999997</v>
      </c>
    </row>
    <row r="70" spans="1:18" x14ac:dyDescent="0.25">
      <c r="A70" s="37">
        <v>2022</v>
      </c>
      <c r="B70">
        <v>51045</v>
      </c>
      <c r="C70" s="11">
        <v>424.48445400000003</v>
      </c>
      <c r="D70" s="11">
        <v>74.002796000000004</v>
      </c>
      <c r="E70" s="11">
        <v>0</v>
      </c>
      <c r="F70" s="11">
        <v>0</v>
      </c>
      <c r="G70" s="11">
        <v>0</v>
      </c>
      <c r="H70" s="11">
        <v>1.1400000000000001</v>
      </c>
      <c r="I70" s="11">
        <v>60.124607999999995</v>
      </c>
      <c r="J70" s="11">
        <v>7.6270449999999999</v>
      </c>
      <c r="K70" s="11">
        <v>0</v>
      </c>
      <c r="L70" s="11">
        <v>2.1340779999999997</v>
      </c>
      <c r="M70" s="11">
        <v>12.889728</v>
      </c>
      <c r="N70" s="11">
        <v>142.57368700000001</v>
      </c>
      <c r="O70" s="11">
        <v>47.353611000000001</v>
      </c>
      <c r="P70" s="11">
        <v>0.459366</v>
      </c>
      <c r="Q70" s="11">
        <v>171.43297100000001</v>
      </c>
      <c r="R70" s="11">
        <v>4.3699279999999998</v>
      </c>
    </row>
    <row r="71" spans="1:18" x14ac:dyDescent="0.25">
      <c r="A71" s="37">
        <v>2022</v>
      </c>
      <c r="B71">
        <v>51045</v>
      </c>
      <c r="C71" s="11">
        <v>44.757210000000001</v>
      </c>
      <c r="D71" s="11">
        <v>0</v>
      </c>
      <c r="E71" s="11">
        <v>0</v>
      </c>
      <c r="F71" s="11">
        <v>0</v>
      </c>
      <c r="G71" s="11">
        <v>0</v>
      </c>
      <c r="H71" s="11">
        <v>0</v>
      </c>
      <c r="I71" s="11">
        <v>4.5178769999999995</v>
      </c>
      <c r="J71" s="11">
        <v>0.174399</v>
      </c>
      <c r="K71" s="11">
        <v>0</v>
      </c>
      <c r="L71" s="11">
        <v>4.2622E-2</v>
      </c>
      <c r="M71" s="11">
        <v>2.9434999999999999E-2</v>
      </c>
      <c r="N71" s="11">
        <v>30.659744</v>
      </c>
      <c r="O71" s="11">
        <v>0</v>
      </c>
      <c r="P71" s="11">
        <v>0</v>
      </c>
      <c r="Q71" s="11">
        <v>3.5715019999999997</v>
      </c>
      <c r="R71" s="11">
        <v>4.1333060000000001</v>
      </c>
    </row>
    <row r="72" spans="1:18" x14ac:dyDescent="0.25">
      <c r="A72" s="37">
        <v>2022</v>
      </c>
      <c r="B72">
        <v>51045</v>
      </c>
      <c r="C72" s="11">
        <v>48.921270999999997</v>
      </c>
      <c r="D72" s="11">
        <v>0</v>
      </c>
      <c r="E72" s="11">
        <v>0</v>
      </c>
      <c r="F72" s="11">
        <v>0</v>
      </c>
      <c r="G72" s="11">
        <v>0</v>
      </c>
      <c r="H72" s="11">
        <v>0.13920199999999999</v>
      </c>
      <c r="I72" s="11">
        <v>2.978812</v>
      </c>
      <c r="J72" s="11">
        <v>0</v>
      </c>
      <c r="K72" s="11">
        <v>0</v>
      </c>
      <c r="L72" s="11">
        <v>0.28000000000000003</v>
      </c>
      <c r="M72" s="11">
        <v>0.41920199999999996</v>
      </c>
      <c r="N72" s="11">
        <v>39.598607000000001</v>
      </c>
      <c r="O72" s="11">
        <v>0</v>
      </c>
      <c r="P72" s="11">
        <v>0</v>
      </c>
      <c r="Q72" s="11">
        <v>1.8234089999999998</v>
      </c>
      <c r="R72" s="11">
        <v>2.9536560000000001</v>
      </c>
    </row>
    <row r="73" spans="1:18" x14ac:dyDescent="0.25">
      <c r="A73" s="37">
        <v>2022</v>
      </c>
      <c r="B73">
        <v>51045</v>
      </c>
      <c r="C73" s="11">
        <v>59.173811999999998</v>
      </c>
      <c r="D73" s="11">
        <v>0</v>
      </c>
      <c r="E73" s="11">
        <v>0</v>
      </c>
      <c r="F73" s="11">
        <v>0</v>
      </c>
      <c r="G73" s="11">
        <v>0</v>
      </c>
      <c r="H73" s="11">
        <v>0.14000000000000001</v>
      </c>
      <c r="I73" s="11">
        <v>4.8968479999999994</v>
      </c>
      <c r="J73" s="11">
        <v>0.13920199999999999</v>
      </c>
      <c r="K73" s="11">
        <v>3.2731999999999997E-2</v>
      </c>
      <c r="L73" s="11">
        <v>0</v>
      </c>
      <c r="M73" s="11">
        <v>0.29177399999999998</v>
      </c>
      <c r="N73" s="11">
        <v>18.499918999999998</v>
      </c>
      <c r="O73" s="11">
        <v>0</v>
      </c>
      <c r="P73" s="11">
        <v>0</v>
      </c>
      <c r="Q73" s="11">
        <v>0.72290999999999994</v>
      </c>
      <c r="R73" s="11">
        <v>10.065291999999999</v>
      </c>
    </row>
    <row r="74" spans="1:18" x14ac:dyDescent="0.25">
      <c r="A74" s="37">
        <v>2022</v>
      </c>
      <c r="B74">
        <v>51045</v>
      </c>
      <c r="C74" s="11">
        <v>47.910145999999997</v>
      </c>
      <c r="D74" s="11">
        <v>0</v>
      </c>
      <c r="E74" s="11">
        <v>0</v>
      </c>
      <c r="F74" s="11">
        <v>0</v>
      </c>
      <c r="G74" s="11">
        <v>0</v>
      </c>
      <c r="H74" s="11">
        <v>4.5037999999999995E-2</v>
      </c>
      <c r="I74" s="11">
        <v>3.5855609999999998</v>
      </c>
      <c r="J74" s="11">
        <v>0</v>
      </c>
      <c r="K74" s="11">
        <v>0</v>
      </c>
      <c r="L74" s="11">
        <v>4.2984000000000001E-2</v>
      </c>
      <c r="M74" s="11">
        <v>0.54142699999999999</v>
      </c>
      <c r="N74" s="11">
        <v>21.405483999999998</v>
      </c>
      <c r="O74" s="11">
        <v>0</v>
      </c>
      <c r="P74" s="11">
        <v>0</v>
      </c>
      <c r="Q74" s="11">
        <v>0</v>
      </c>
      <c r="R74" s="11">
        <v>0</v>
      </c>
    </row>
    <row r="75" spans="1:18" x14ac:dyDescent="0.25">
      <c r="A75" s="37">
        <v>2022</v>
      </c>
      <c r="B75">
        <v>51060</v>
      </c>
      <c r="C75" s="11">
        <v>0</v>
      </c>
      <c r="D75" s="11">
        <v>0</v>
      </c>
      <c r="E75" s="11">
        <v>0</v>
      </c>
      <c r="F75" s="11">
        <v>0</v>
      </c>
      <c r="G75" s="11">
        <v>0</v>
      </c>
      <c r="H75" s="11">
        <v>0</v>
      </c>
      <c r="I75" s="11">
        <v>0</v>
      </c>
      <c r="J75" s="11">
        <v>0</v>
      </c>
      <c r="K75" s="11">
        <v>0</v>
      </c>
      <c r="L75" s="11">
        <v>0</v>
      </c>
      <c r="M75" s="11">
        <v>0</v>
      </c>
      <c r="N75" s="11">
        <v>0</v>
      </c>
      <c r="O75" s="11">
        <v>0</v>
      </c>
      <c r="P75" s="11">
        <v>0</v>
      </c>
      <c r="Q75" s="11">
        <v>0</v>
      </c>
      <c r="R75" s="11">
        <v>0</v>
      </c>
    </row>
    <row r="76" spans="1:18" x14ac:dyDescent="0.25">
      <c r="A76" s="37">
        <v>2022</v>
      </c>
      <c r="B76">
        <v>51060</v>
      </c>
      <c r="C76" s="11">
        <v>136.51868899999999</v>
      </c>
      <c r="D76" s="11">
        <v>40.720110999999996</v>
      </c>
      <c r="E76" s="11">
        <v>0</v>
      </c>
      <c r="F76" s="11">
        <v>0</v>
      </c>
      <c r="G76" s="11">
        <v>0</v>
      </c>
      <c r="H76" s="11">
        <v>0.85910399999999998</v>
      </c>
      <c r="I76" s="11">
        <v>13.511452999999999</v>
      </c>
      <c r="J76" s="11">
        <v>1.516454</v>
      </c>
      <c r="K76" s="11">
        <v>0</v>
      </c>
      <c r="L76" s="11">
        <v>0.56000000000000005</v>
      </c>
      <c r="M76" s="11">
        <v>1.300373</v>
      </c>
      <c r="N76" s="11">
        <v>0</v>
      </c>
      <c r="O76" s="11">
        <v>0</v>
      </c>
      <c r="P76" s="11">
        <v>0</v>
      </c>
      <c r="Q76" s="11">
        <v>0</v>
      </c>
      <c r="R76" s="11">
        <v>0</v>
      </c>
    </row>
    <row r="77" spans="1:18" x14ac:dyDescent="0.25">
      <c r="A77" s="37">
        <v>2022</v>
      </c>
      <c r="B77">
        <v>51060</v>
      </c>
      <c r="C77" s="11">
        <v>190.72520800000001</v>
      </c>
      <c r="D77" s="11">
        <v>50.596513999999999</v>
      </c>
      <c r="E77" s="11">
        <v>0</v>
      </c>
      <c r="F77" s="11">
        <v>0</v>
      </c>
      <c r="G77" s="11">
        <v>0</v>
      </c>
      <c r="H77" s="11">
        <v>0.73174299999999992</v>
      </c>
      <c r="I77" s="11">
        <v>16.44078</v>
      </c>
      <c r="J77" s="11">
        <v>1.430461</v>
      </c>
      <c r="K77" s="11">
        <v>0</v>
      </c>
      <c r="L77" s="11">
        <v>0.51068199999999997</v>
      </c>
      <c r="M77" s="11">
        <v>0.82955099999999993</v>
      </c>
      <c r="N77" s="11">
        <v>59.660162</v>
      </c>
      <c r="O77" s="11">
        <v>3.0719999999999997E-2</v>
      </c>
      <c r="P77" s="11">
        <v>0</v>
      </c>
      <c r="Q77" s="11">
        <v>0</v>
      </c>
      <c r="R77" s="11">
        <v>0</v>
      </c>
    </row>
    <row r="78" spans="1:18" x14ac:dyDescent="0.25">
      <c r="A78" s="37">
        <v>2022</v>
      </c>
      <c r="B78">
        <v>51060</v>
      </c>
      <c r="C78" s="11">
        <v>202.18624700000001</v>
      </c>
      <c r="D78" s="11">
        <v>70.514274</v>
      </c>
      <c r="E78" s="11">
        <v>0</v>
      </c>
      <c r="F78" s="11">
        <v>0</v>
      </c>
      <c r="G78" s="11">
        <v>0</v>
      </c>
      <c r="H78" s="11">
        <v>0.89265399999999995</v>
      </c>
      <c r="I78" s="11">
        <v>16.064460999999998</v>
      </c>
      <c r="J78" s="11">
        <v>0.669099</v>
      </c>
      <c r="K78" s="11">
        <v>0</v>
      </c>
      <c r="L78" s="11">
        <v>0.240233</v>
      </c>
      <c r="M78" s="11">
        <v>1.6329199999999999</v>
      </c>
      <c r="N78" s="11">
        <v>66.140058999999994</v>
      </c>
      <c r="O78" s="11">
        <v>0</v>
      </c>
      <c r="P78" s="11">
        <v>6.8610899999999999</v>
      </c>
      <c r="Q78" s="11">
        <v>0</v>
      </c>
      <c r="R78" s="11">
        <v>0</v>
      </c>
    </row>
    <row r="79" spans="1:18" x14ac:dyDescent="0.25">
      <c r="A79" s="37">
        <v>2022</v>
      </c>
      <c r="B79">
        <v>51060</v>
      </c>
      <c r="C79" s="11">
        <v>196.08589599999999</v>
      </c>
      <c r="D79" s="11">
        <v>60.258666999999996</v>
      </c>
      <c r="E79" s="11">
        <v>0</v>
      </c>
      <c r="F79" s="11">
        <v>0</v>
      </c>
      <c r="G79" s="11">
        <v>0</v>
      </c>
      <c r="H79" s="11">
        <v>0</v>
      </c>
      <c r="I79" s="11">
        <v>11.320753999999999</v>
      </c>
      <c r="J79" s="11">
        <v>0.838534</v>
      </c>
      <c r="K79" s="11">
        <v>-3.2239999999999999E-3</v>
      </c>
      <c r="L79" s="11">
        <v>0.13</v>
      </c>
      <c r="M79" s="11">
        <v>0.69000000000000006</v>
      </c>
      <c r="N79" s="11">
        <v>104.335015</v>
      </c>
      <c r="O79" s="11">
        <v>35.127088000000001</v>
      </c>
      <c r="P79" s="11">
        <v>4.0472359999999998</v>
      </c>
      <c r="Q79" s="11">
        <v>1.117594</v>
      </c>
      <c r="R79" s="11">
        <v>3.3904199999999998</v>
      </c>
    </row>
    <row r="80" spans="1:18" x14ac:dyDescent="0.25">
      <c r="A80" s="37">
        <v>2022</v>
      </c>
      <c r="B80">
        <v>51060</v>
      </c>
      <c r="C80" s="11">
        <v>194.915539</v>
      </c>
      <c r="D80" s="11">
        <v>52.835511999999994</v>
      </c>
      <c r="E80" s="11">
        <v>0</v>
      </c>
      <c r="F80" s="11">
        <v>0</v>
      </c>
      <c r="G80" s="11">
        <v>0</v>
      </c>
      <c r="H80" s="11">
        <v>0.42</v>
      </c>
      <c r="I80" s="11">
        <v>11.801584999999999</v>
      </c>
      <c r="J80" s="11">
        <v>0.55000000000000004</v>
      </c>
      <c r="K80" s="11">
        <v>0</v>
      </c>
      <c r="L80" s="11">
        <v>0.26</v>
      </c>
      <c r="M80" s="11">
        <v>0.66908000000000001</v>
      </c>
      <c r="N80" s="11">
        <v>101.977514</v>
      </c>
      <c r="O80" s="11">
        <v>38.798587999999995</v>
      </c>
      <c r="P80" s="11">
        <v>1.87134</v>
      </c>
      <c r="Q80" s="11">
        <v>10.329779</v>
      </c>
      <c r="R80" s="11">
        <v>2.7735249999999998</v>
      </c>
    </row>
    <row r="81" spans="1:18" x14ac:dyDescent="0.25">
      <c r="A81" s="37">
        <v>2022</v>
      </c>
      <c r="B81">
        <v>51060</v>
      </c>
      <c r="C81" s="11">
        <v>1426.9122910000001</v>
      </c>
      <c r="D81" s="11">
        <v>283.85648700000002</v>
      </c>
      <c r="E81" s="11">
        <v>1.034286</v>
      </c>
      <c r="F81" s="11">
        <v>30.52844</v>
      </c>
      <c r="G81" s="11">
        <v>4</v>
      </c>
      <c r="H81" s="11">
        <v>2.0571429999999999</v>
      </c>
      <c r="I81" s="11">
        <v>243.52550600000001</v>
      </c>
      <c r="J81" s="11">
        <v>10.665930999999999</v>
      </c>
      <c r="K81" s="11">
        <v>0</v>
      </c>
      <c r="L81" s="11">
        <v>0</v>
      </c>
      <c r="M81" s="11">
        <v>11.71</v>
      </c>
      <c r="N81" s="11">
        <v>418.19940400000002</v>
      </c>
      <c r="O81" s="11">
        <v>238.55196799999999</v>
      </c>
      <c r="P81" s="11">
        <v>5.3481990000000001</v>
      </c>
      <c r="Q81" s="11">
        <v>722.22296800000004</v>
      </c>
      <c r="R81" s="11">
        <v>0.73869799999999997</v>
      </c>
    </row>
    <row r="82" spans="1:18" x14ac:dyDescent="0.25">
      <c r="A82" s="37">
        <v>2022</v>
      </c>
      <c r="B82">
        <v>51060</v>
      </c>
      <c r="C82" s="11">
        <v>1510.473747</v>
      </c>
      <c r="D82" s="11">
        <v>419.54872599999999</v>
      </c>
      <c r="E82" s="11">
        <v>0</v>
      </c>
      <c r="F82" s="11">
        <v>20.541450999999999</v>
      </c>
      <c r="G82" s="11">
        <v>2</v>
      </c>
      <c r="H82" s="11">
        <v>1</v>
      </c>
      <c r="I82" s="11">
        <v>250.48111900000001</v>
      </c>
      <c r="J82" s="11">
        <v>16.771260999999999</v>
      </c>
      <c r="K82" s="11">
        <v>0</v>
      </c>
      <c r="L82" s="11">
        <v>8.0389400000000002</v>
      </c>
      <c r="M82" s="11">
        <v>29.520840999999997</v>
      </c>
      <c r="N82" s="11">
        <v>414.13988899999998</v>
      </c>
      <c r="O82" s="11">
        <v>274.17747700000001</v>
      </c>
      <c r="P82" s="11">
        <v>17.779207</v>
      </c>
      <c r="Q82" s="11">
        <v>521.55737099999999</v>
      </c>
      <c r="R82" s="11">
        <v>0.83900699999999995</v>
      </c>
    </row>
    <row r="83" spans="1:18" x14ac:dyDescent="0.25">
      <c r="A83" s="37">
        <v>2022</v>
      </c>
      <c r="B83">
        <v>51128</v>
      </c>
      <c r="C83" s="11">
        <v>128.16217799999998</v>
      </c>
      <c r="D83" s="11">
        <v>62.830610999999998</v>
      </c>
      <c r="E83" s="11">
        <v>0</v>
      </c>
      <c r="F83" s="11">
        <v>0</v>
      </c>
      <c r="G83" s="11">
        <v>0</v>
      </c>
      <c r="H83" s="11">
        <v>0</v>
      </c>
      <c r="I83" s="11">
        <v>28.309832</v>
      </c>
      <c r="J83" s="11">
        <v>6.1340779999999997</v>
      </c>
      <c r="K83" s="11">
        <v>1</v>
      </c>
      <c r="L83" s="11">
        <v>4</v>
      </c>
      <c r="M83" s="11">
        <v>0</v>
      </c>
      <c r="N83" s="11">
        <v>33.16816</v>
      </c>
      <c r="O83" s="11">
        <v>20.920261</v>
      </c>
      <c r="P83" s="11">
        <v>0</v>
      </c>
      <c r="Q83" s="11">
        <v>47.063265000000001</v>
      </c>
      <c r="R83" s="11">
        <v>0</v>
      </c>
    </row>
    <row r="84" spans="1:18" x14ac:dyDescent="0.25">
      <c r="A84" s="37">
        <v>2022</v>
      </c>
      <c r="B84">
        <v>51128</v>
      </c>
      <c r="C84" s="11">
        <v>2.87</v>
      </c>
      <c r="D84" s="11">
        <v>0</v>
      </c>
      <c r="E84" s="11">
        <v>0</v>
      </c>
      <c r="F84" s="11">
        <v>0</v>
      </c>
      <c r="G84" s="11">
        <v>0</v>
      </c>
      <c r="H84" s="11">
        <v>0</v>
      </c>
      <c r="I84" s="11">
        <v>0</v>
      </c>
      <c r="J84" s="11">
        <v>0</v>
      </c>
      <c r="K84" s="11">
        <v>0</v>
      </c>
      <c r="L84" s="11">
        <v>1</v>
      </c>
      <c r="M84" s="11">
        <v>1.87</v>
      </c>
      <c r="N84" s="11">
        <v>0</v>
      </c>
      <c r="O84" s="11">
        <v>1.2500009999999999</v>
      </c>
      <c r="P84" s="11">
        <v>0</v>
      </c>
      <c r="Q84" s="11">
        <v>0.98889399999999994</v>
      </c>
      <c r="R84" s="11">
        <v>0</v>
      </c>
    </row>
    <row r="85" spans="1:18" x14ac:dyDescent="0.25">
      <c r="A85" s="37">
        <v>2022</v>
      </c>
      <c r="B85">
        <v>51128</v>
      </c>
      <c r="C85" s="11">
        <v>173.537173</v>
      </c>
      <c r="D85" s="11">
        <v>112.01223299999999</v>
      </c>
      <c r="E85" s="11">
        <v>0</v>
      </c>
      <c r="F85" s="11">
        <v>0</v>
      </c>
      <c r="G85" s="11">
        <v>0</v>
      </c>
      <c r="H85" s="11">
        <v>0</v>
      </c>
      <c r="I85" s="11">
        <v>31.227540999999999</v>
      </c>
      <c r="J85" s="11">
        <v>3</v>
      </c>
      <c r="K85" s="11">
        <v>0</v>
      </c>
      <c r="L85" s="11">
        <v>1.87</v>
      </c>
      <c r="M85" s="11">
        <v>2.9777779999999998</v>
      </c>
      <c r="N85" s="11">
        <v>45.651201</v>
      </c>
      <c r="O85" s="11">
        <v>26.020083</v>
      </c>
      <c r="P85" s="11">
        <v>0</v>
      </c>
      <c r="Q85" s="11">
        <v>74.809579999999997</v>
      </c>
      <c r="R85" s="11">
        <v>0</v>
      </c>
    </row>
    <row r="86" spans="1:18" x14ac:dyDescent="0.25">
      <c r="A86" s="37">
        <v>2022</v>
      </c>
      <c r="B86">
        <v>51144</v>
      </c>
      <c r="C86" s="11">
        <v>223.537859</v>
      </c>
      <c r="D86" s="11">
        <v>72.906263999999993</v>
      </c>
      <c r="E86" s="11">
        <v>0</v>
      </c>
      <c r="F86" s="11">
        <v>2</v>
      </c>
      <c r="G86" s="11">
        <v>0</v>
      </c>
      <c r="H86" s="11">
        <v>0</v>
      </c>
      <c r="I86" s="11">
        <v>32.977142999999998</v>
      </c>
      <c r="J86" s="11">
        <v>4.0604399999999998</v>
      </c>
      <c r="K86" s="11">
        <v>0</v>
      </c>
      <c r="L86" s="11">
        <v>1.2774729999999999</v>
      </c>
      <c r="M86" s="11">
        <v>3.5</v>
      </c>
      <c r="N86" s="11">
        <v>56.125194</v>
      </c>
      <c r="O86" s="11">
        <v>38.161662999999997</v>
      </c>
      <c r="P86" s="11">
        <v>0.74862600000000001</v>
      </c>
      <c r="Q86" s="11">
        <v>60.284081</v>
      </c>
      <c r="R86" s="11">
        <v>0</v>
      </c>
    </row>
    <row r="87" spans="1:18" x14ac:dyDescent="0.25">
      <c r="A87" s="37">
        <v>2022</v>
      </c>
      <c r="B87">
        <v>51144</v>
      </c>
      <c r="C87" s="11">
        <v>256.07609600000001</v>
      </c>
      <c r="D87" s="11">
        <v>35.439065999999997</v>
      </c>
      <c r="E87" s="11">
        <v>0</v>
      </c>
      <c r="F87" s="11">
        <v>1</v>
      </c>
      <c r="G87" s="11">
        <v>0</v>
      </c>
      <c r="H87" s="11">
        <v>0</v>
      </c>
      <c r="I87" s="11">
        <v>41.780878999999999</v>
      </c>
      <c r="J87" s="11">
        <v>3</v>
      </c>
      <c r="K87" s="11">
        <v>0</v>
      </c>
      <c r="L87" s="11">
        <v>0</v>
      </c>
      <c r="M87" s="11">
        <v>2.5</v>
      </c>
      <c r="N87" s="11">
        <v>67.784358999999995</v>
      </c>
      <c r="O87" s="11">
        <v>40.454291999999995</v>
      </c>
      <c r="P87" s="11">
        <v>0</v>
      </c>
      <c r="Q87" s="11">
        <v>87.953768999999994</v>
      </c>
      <c r="R87" s="11">
        <v>0</v>
      </c>
    </row>
    <row r="88" spans="1:18" x14ac:dyDescent="0.25">
      <c r="A88" s="37">
        <v>2022</v>
      </c>
      <c r="B88">
        <v>51144</v>
      </c>
      <c r="C88" s="11">
        <v>3.59</v>
      </c>
      <c r="D88" s="11">
        <v>0</v>
      </c>
      <c r="E88" s="11">
        <v>0</v>
      </c>
      <c r="F88" s="11">
        <v>0</v>
      </c>
      <c r="G88" s="11">
        <v>0</v>
      </c>
      <c r="H88" s="11">
        <v>0</v>
      </c>
      <c r="I88" s="11">
        <v>0.13</v>
      </c>
      <c r="J88" s="11">
        <v>0</v>
      </c>
      <c r="K88" s="11">
        <v>0</v>
      </c>
      <c r="L88" s="11">
        <v>0</v>
      </c>
      <c r="M88" s="11">
        <v>0</v>
      </c>
      <c r="N88" s="11">
        <v>0.41666599999999998</v>
      </c>
      <c r="O88" s="11">
        <v>6.2205999999999997E-2</v>
      </c>
      <c r="P88" s="11">
        <v>0</v>
      </c>
      <c r="Q88" s="11">
        <v>0.55301599999999995</v>
      </c>
      <c r="R88" s="11">
        <v>0</v>
      </c>
    </row>
    <row r="89" spans="1:18" x14ac:dyDescent="0.25">
      <c r="A89" s="37">
        <v>2022</v>
      </c>
      <c r="B89">
        <v>51144</v>
      </c>
      <c r="C89" s="11">
        <v>38.131482999999996</v>
      </c>
      <c r="D89" s="11">
        <v>4.7750000000000004</v>
      </c>
      <c r="E89" s="11">
        <v>0</v>
      </c>
      <c r="F89" s="11">
        <v>0</v>
      </c>
      <c r="G89" s="11">
        <v>0</v>
      </c>
      <c r="H89" s="11">
        <v>0</v>
      </c>
      <c r="I89" s="11">
        <v>7.1826919999999994</v>
      </c>
      <c r="J89" s="11">
        <v>0</v>
      </c>
      <c r="K89" s="11">
        <v>0</v>
      </c>
      <c r="L89" s="11">
        <v>0</v>
      </c>
      <c r="M89" s="11">
        <v>1</v>
      </c>
      <c r="N89" s="11">
        <v>7.2569629999999998</v>
      </c>
      <c r="O89" s="11">
        <v>1.6719999999999999E-3</v>
      </c>
      <c r="P89" s="11">
        <v>4.9079980000000001</v>
      </c>
      <c r="Q89" s="11">
        <v>9.281898</v>
      </c>
      <c r="R89" s="11">
        <v>0</v>
      </c>
    </row>
    <row r="90" spans="1:18" x14ac:dyDescent="0.25">
      <c r="A90" s="37">
        <v>2022</v>
      </c>
      <c r="B90">
        <v>51169</v>
      </c>
      <c r="C90" s="11">
        <v>195.87514399999998</v>
      </c>
      <c r="D90" s="11">
        <v>24.447917</v>
      </c>
      <c r="E90" s="11">
        <v>0</v>
      </c>
      <c r="F90" s="11">
        <v>0</v>
      </c>
      <c r="G90" s="11">
        <v>0</v>
      </c>
      <c r="H90" s="11">
        <v>0</v>
      </c>
      <c r="I90" s="11">
        <v>33.536111999999996</v>
      </c>
      <c r="J90" s="11">
        <v>2.5583329999999997</v>
      </c>
      <c r="K90" s="11">
        <v>0</v>
      </c>
      <c r="L90" s="11">
        <v>0</v>
      </c>
      <c r="M90" s="11">
        <v>1</v>
      </c>
      <c r="N90" s="11">
        <v>127.110805</v>
      </c>
      <c r="O90" s="11">
        <v>55.613388</v>
      </c>
      <c r="P90" s="11">
        <v>0</v>
      </c>
      <c r="Q90" s="11">
        <v>5.3166649999999995</v>
      </c>
      <c r="R90" s="11">
        <v>0</v>
      </c>
    </row>
    <row r="91" spans="1:18" x14ac:dyDescent="0.25">
      <c r="A91" s="37">
        <v>2022</v>
      </c>
      <c r="B91">
        <v>51169</v>
      </c>
      <c r="C91" s="11">
        <v>4.5222220000000002</v>
      </c>
      <c r="D91" s="11">
        <v>0.588889</v>
      </c>
      <c r="E91" s="11">
        <v>0</v>
      </c>
      <c r="F91" s="11">
        <v>0</v>
      </c>
      <c r="G91" s="11">
        <v>0</v>
      </c>
      <c r="H91" s="11">
        <v>0</v>
      </c>
      <c r="I91" s="11">
        <v>0</v>
      </c>
      <c r="J91" s="11">
        <v>0</v>
      </c>
      <c r="K91" s="11">
        <v>0</v>
      </c>
      <c r="L91" s="11">
        <v>0</v>
      </c>
      <c r="M91" s="11">
        <v>0</v>
      </c>
      <c r="N91" s="11">
        <v>2.4166669999999999</v>
      </c>
      <c r="O91" s="11">
        <v>1.3817659999999998</v>
      </c>
      <c r="P91" s="11">
        <v>0</v>
      </c>
      <c r="Q91" s="11">
        <v>0.58111099999999993</v>
      </c>
      <c r="R91" s="11">
        <v>0</v>
      </c>
    </row>
    <row r="92" spans="1:18" x14ac:dyDescent="0.25">
      <c r="A92" s="37">
        <v>2022</v>
      </c>
      <c r="B92">
        <v>51169</v>
      </c>
      <c r="C92" s="11">
        <v>151.466666</v>
      </c>
      <c r="D92" s="11">
        <v>24.686111</v>
      </c>
      <c r="E92" s="11">
        <v>0</v>
      </c>
      <c r="F92" s="11">
        <v>0</v>
      </c>
      <c r="G92" s="11">
        <v>0</v>
      </c>
      <c r="H92" s="11">
        <v>0.5</v>
      </c>
      <c r="I92" s="11">
        <v>22.727777</v>
      </c>
      <c r="J92" s="11">
        <v>0</v>
      </c>
      <c r="K92" s="11">
        <v>0</v>
      </c>
      <c r="L92" s="11">
        <v>0</v>
      </c>
      <c r="M92" s="11">
        <v>1</v>
      </c>
      <c r="N92" s="11">
        <v>83.673391999999993</v>
      </c>
      <c r="O92" s="11">
        <v>42.222260999999996</v>
      </c>
      <c r="P92" s="11">
        <v>0</v>
      </c>
      <c r="Q92" s="11">
        <v>4.8333389999999996</v>
      </c>
      <c r="R92" s="11">
        <v>0</v>
      </c>
    </row>
    <row r="93" spans="1:18" x14ac:dyDescent="0.25">
      <c r="A93" s="37">
        <v>2022</v>
      </c>
      <c r="B93">
        <v>51185</v>
      </c>
      <c r="C93" s="11">
        <v>3.8582179999999999</v>
      </c>
      <c r="D93" s="11">
        <v>0</v>
      </c>
      <c r="E93" s="11">
        <v>0</v>
      </c>
      <c r="F93" s="11">
        <v>0</v>
      </c>
      <c r="G93" s="11">
        <v>0</v>
      </c>
      <c r="H93" s="11">
        <v>0.24</v>
      </c>
      <c r="I93" s="11">
        <v>0</v>
      </c>
      <c r="J93" s="11">
        <v>0</v>
      </c>
      <c r="K93" s="11">
        <v>0</v>
      </c>
      <c r="L93" s="11">
        <v>0</v>
      </c>
      <c r="M93" s="11">
        <v>0</v>
      </c>
      <c r="N93" s="11">
        <v>0</v>
      </c>
      <c r="O93" s="11">
        <v>0</v>
      </c>
      <c r="P93" s="11">
        <v>0</v>
      </c>
      <c r="Q93" s="11">
        <v>0</v>
      </c>
      <c r="R93" s="11">
        <v>0</v>
      </c>
    </row>
    <row r="94" spans="1:18" x14ac:dyDescent="0.25">
      <c r="A94" s="37">
        <v>2022</v>
      </c>
      <c r="B94">
        <v>51185</v>
      </c>
      <c r="C94" s="11">
        <v>7.41214</v>
      </c>
      <c r="D94" s="11">
        <v>0.06</v>
      </c>
      <c r="E94" s="11">
        <v>0</v>
      </c>
      <c r="F94" s="11">
        <v>0</v>
      </c>
      <c r="G94" s="11">
        <v>0</v>
      </c>
      <c r="H94" s="11">
        <v>0.03</v>
      </c>
      <c r="I94" s="11">
        <v>0.20550599999999999</v>
      </c>
      <c r="J94" s="11">
        <v>0</v>
      </c>
      <c r="K94" s="11">
        <v>0</v>
      </c>
      <c r="L94" s="11">
        <v>0</v>
      </c>
      <c r="M94" s="11">
        <v>2.2752999999999999E-2</v>
      </c>
      <c r="N94" s="11">
        <v>5.3179859999999994</v>
      </c>
      <c r="O94" s="11">
        <v>0</v>
      </c>
      <c r="P94" s="11">
        <v>0</v>
      </c>
      <c r="Q94" s="11">
        <v>0</v>
      </c>
      <c r="R94" s="11">
        <v>0</v>
      </c>
    </row>
    <row r="95" spans="1:18" x14ac:dyDescent="0.25">
      <c r="A95" s="37">
        <v>2022</v>
      </c>
      <c r="B95">
        <v>51185</v>
      </c>
      <c r="C95" s="11">
        <v>20.046175999999999</v>
      </c>
      <c r="D95" s="11">
        <v>1.482807</v>
      </c>
      <c r="E95" s="11">
        <v>0</v>
      </c>
      <c r="F95" s="11">
        <v>0</v>
      </c>
      <c r="G95" s="11">
        <v>0</v>
      </c>
      <c r="H95" s="11">
        <v>0.38292099999999996</v>
      </c>
      <c r="I95" s="11">
        <v>1.118482</v>
      </c>
      <c r="J95" s="11">
        <v>0</v>
      </c>
      <c r="K95" s="11">
        <v>0.14000000000000001</v>
      </c>
      <c r="L95" s="11">
        <v>0</v>
      </c>
      <c r="M95" s="11">
        <v>0.56584199999999996</v>
      </c>
      <c r="N95" s="11">
        <v>13.326673999999999</v>
      </c>
      <c r="O95" s="11">
        <v>0</v>
      </c>
      <c r="P95" s="11">
        <v>0</v>
      </c>
      <c r="Q95" s="11">
        <v>0</v>
      </c>
      <c r="R95" s="11">
        <v>0</v>
      </c>
    </row>
    <row r="96" spans="1:18" x14ac:dyDescent="0.25">
      <c r="A96" s="37">
        <v>2022</v>
      </c>
      <c r="B96">
        <v>51185</v>
      </c>
      <c r="C96" s="11">
        <v>25.433312999999998</v>
      </c>
      <c r="D96" s="11">
        <v>0.92</v>
      </c>
      <c r="E96" s="11">
        <v>0</v>
      </c>
      <c r="F96" s="11">
        <v>0</v>
      </c>
      <c r="G96" s="11">
        <v>0</v>
      </c>
      <c r="H96" s="11">
        <v>0.38</v>
      </c>
      <c r="I96" s="11">
        <v>1.799213</v>
      </c>
      <c r="J96" s="11">
        <v>0</v>
      </c>
      <c r="K96" s="11">
        <v>0</v>
      </c>
      <c r="L96" s="11">
        <v>0.28000000000000003</v>
      </c>
      <c r="M96" s="11">
        <v>0.13</v>
      </c>
      <c r="N96" s="11">
        <v>12.815370999999999</v>
      </c>
      <c r="O96" s="11">
        <v>2.5842739999999997</v>
      </c>
      <c r="P96" s="11">
        <v>1.5906659999999999</v>
      </c>
      <c r="Q96" s="11">
        <v>0.110487</v>
      </c>
      <c r="R96" s="11">
        <v>0.04</v>
      </c>
    </row>
    <row r="97" spans="1:18" x14ac:dyDescent="0.25">
      <c r="A97" s="37">
        <v>2022</v>
      </c>
      <c r="B97">
        <v>51185</v>
      </c>
      <c r="C97" s="11">
        <v>26.847242999999999</v>
      </c>
      <c r="D97" s="11">
        <v>1.4114609999999999</v>
      </c>
      <c r="E97" s="11">
        <v>0</v>
      </c>
      <c r="F97" s="11">
        <v>0</v>
      </c>
      <c r="G97" s="11">
        <v>0</v>
      </c>
      <c r="H97" s="11">
        <v>0</v>
      </c>
      <c r="I97" s="11">
        <v>2.4500000000000002</v>
      </c>
      <c r="J97" s="11">
        <v>0</v>
      </c>
      <c r="K97" s="11">
        <v>0</v>
      </c>
      <c r="L97" s="11">
        <v>0.14000000000000001</v>
      </c>
      <c r="M97" s="11">
        <v>0.14000000000000001</v>
      </c>
      <c r="N97" s="11">
        <v>11.150539999999999</v>
      </c>
      <c r="O97" s="11">
        <v>1.4881609999999998</v>
      </c>
      <c r="P97" s="11">
        <v>0.752444</v>
      </c>
      <c r="Q97" s="11">
        <v>2.2442069999999998</v>
      </c>
      <c r="R97" s="11">
        <v>2.477446</v>
      </c>
    </row>
    <row r="98" spans="1:18" x14ac:dyDescent="0.25">
      <c r="A98" s="37">
        <v>2022</v>
      </c>
      <c r="B98">
        <v>51185</v>
      </c>
      <c r="C98" s="11">
        <v>323.80606699999998</v>
      </c>
      <c r="D98" s="11">
        <v>307.38730299999997</v>
      </c>
      <c r="E98" s="11">
        <v>0</v>
      </c>
      <c r="F98" s="11">
        <v>0</v>
      </c>
      <c r="G98" s="11">
        <v>0</v>
      </c>
      <c r="H98" s="11">
        <v>0</v>
      </c>
      <c r="I98" s="11">
        <v>77.613315</v>
      </c>
      <c r="J98" s="11">
        <v>4.8539329999999996</v>
      </c>
      <c r="K98" s="11">
        <v>1.1300000000000001</v>
      </c>
      <c r="L98" s="11">
        <v>4.876404</v>
      </c>
      <c r="M98" s="11">
        <v>4.3884270000000001</v>
      </c>
      <c r="N98" s="11">
        <v>101.88851</v>
      </c>
      <c r="O98" s="11">
        <v>50.901837999999998</v>
      </c>
      <c r="P98" s="11">
        <v>0.66193199999999996</v>
      </c>
      <c r="Q98" s="11">
        <v>162.04194200000001</v>
      </c>
      <c r="R98" s="11">
        <v>1.839809</v>
      </c>
    </row>
    <row r="99" spans="1:18" x14ac:dyDescent="0.25">
      <c r="A99" s="37">
        <v>2022</v>
      </c>
      <c r="B99">
        <v>51185</v>
      </c>
      <c r="C99" s="11">
        <v>268.47073699999999</v>
      </c>
      <c r="D99" s="11">
        <v>243.40166500000001</v>
      </c>
      <c r="E99" s="11">
        <v>0</v>
      </c>
      <c r="F99" s="11">
        <v>0</v>
      </c>
      <c r="G99" s="11">
        <v>0</v>
      </c>
      <c r="H99" s="11">
        <v>0</v>
      </c>
      <c r="I99" s="11">
        <v>49.157662999999999</v>
      </c>
      <c r="J99" s="11">
        <v>2</v>
      </c>
      <c r="K99" s="11">
        <v>1</v>
      </c>
      <c r="L99" s="11">
        <v>5.2343820000000001</v>
      </c>
      <c r="M99" s="11">
        <v>5.5303369999999994</v>
      </c>
      <c r="N99" s="11">
        <v>84.019534999999991</v>
      </c>
      <c r="O99" s="11">
        <v>38.988118999999998</v>
      </c>
      <c r="P99" s="11">
        <v>7.0228639999999993</v>
      </c>
      <c r="Q99" s="11">
        <v>122.046623</v>
      </c>
      <c r="R99" s="11">
        <v>3.0405829999999998</v>
      </c>
    </row>
    <row r="100" spans="1:18" x14ac:dyDescent="0.25">
      <c r="A100" s="37">
        <v>2022</v>
      </c>
      <c r="B100">
        <v>51201</v>
      </c>
      <c r="C100" s="11">
        <v>328.60547700000001</v>
      </c>
      <c r="D100" s="11">
        <v>80.790919000000002</v>
      </c>
      <c r="E100" s="11">
        <v>0</v>
      </c>
      <c r="F100" s="11">
        <v>3</v>
      </c>
      <c r="G100" s="11">
        <v>1</v>
      </c>
      <c r="H100" s="11">
        <v>0</v>
      </c>
      <c r="I100" s="11">
        <v>49.567273</v>
      </c>
      <c r="J100" s="11">
        <v>3</v>
      </c>
      <c r="K100" s="11">
        <v>0</v>
      </c>
      <c r="L100" s="11">
        <v>0.74482799999999993</v>
      </c>
      <c r="M100" s="11">
        <v>4.8029599999999997</v>
      </c>
      <c r="N100" s="11">
        <v>85.916883999999996</v>
      </c>
      <c r="O100" s="11">
        <v>44.191741999999998</v>
      </c>
      <c r="P100" s="11">
        <v>0</v>
      </c>
      <c r="Q100" s="11">
        <v>101.830567</v>
      </c>
      <c r="R100" s="11">
        <v>2.1999960000000001</v>
      </c>
    </row>
    <row r="101" spans="1:18" x14ac:dyDescent="0.25">
      <c r="A101" s="37">
        <v>2022</v>
      </c>
      <c r="B101">
        <v>51201</v>
      </c>
      <c r="C101" s="11">
        <v>379.82918100000001</v>
      </c>
      <c r="D101" s="11">
        <v>77.729942999999992</v>
      </c>
      <c r="E101" s="11">
        <v>0</v>
      </c>
      <c r="F101" s="11">
        <v>2.3706209999999999</v>
      </c>
      <c r="G101" s="11">
        <v>3</v>
      </c>
      <c r="H101" s="11">
        <v>0.13</v>
      </c>
      <c r="I101" s="11">
        <v>49.246496</v>
      </c>
      <c r="J101" s="11">
        <v>6.181921</v>
      </c>
      <c r="K101" s="11">
        <v>0</v>
      </c>
      <c r="L101" s="11">
        <v>1.8259879999999999</v>
      </c>
      <c r="M101" s="11">
        <v>1.8</v>
      </c>
      <c r="N101" s="11">
        <v>100.751041</v>
      </c>
      <c r="O101" s="11">
        <v>50.109248000000001</v>
      </c>
      <c r="P101" s="11">
        <v>0</v>
      </c>
      <c r="Q101" s="11">
        <v>146.878151</v>
      </c>
      <c r="R101" s="11">
        <v>0</v>
      </c>
    </row>
    <row r="102" spans="1:18" x14ac:dyDescent="0.25">
      <c r="A102" s="37">
        <v>2022</v>
      </c>
      <c r="B102">
        <v>51201</v>
      </c>
      <c r="C102" s="11">
        <v>21.097102</v>
      </c>
      <c r="D102" s="11">
        <v>0</v>
      </c>
      <c r="E102" s="11">
        <v>0</v>
      </c>
      <c r="F102" s="11">
        <v>0</v>
      </c>
      <c r="G102" s="11">
        <v>0</v>
      </c>
      <c r="H102" s="11">
        <v>0.14000000000000001</v>
      </c>
      <c r="I102" s="11">
        <v>2.1872720000000001</v>
      </c>
      <c r="J102" s="11">
        <v>0</v>
      </c>
      <c r="K102" s="11">
        <v>0</v>
      </c>
      <c r="L102" s="11">
        <v>0</v>
      </c>
      <c r="M102" s="11">
        <v>0.12</v>
      </c>
      <c r="N102" s="11">
        <v>9.8176869999999994</v>
      </c>
      <c r="O102" s="11">
        <v>2.0476829999999997</v>
      </c>
      <c r="P102" s="11">
        <v>0</v>
      </c>
      <c r="Q102" s="11">
        <v>1.536368</v>
      </c>
      <c r="R102" s="11">
        <v>0</v>
      </c>
    </row>
    <row r="103" spans="1:18" x14ac:dyDescent="0.25">
      <c r="A103" s="37">
        <v>2022</v>
      </c>
      <c r="B103">
        <v>51201</v>
      </c>
      <c r="C103" s="11">
        <v>25.494730000000001</v>
      </c>
      <c r="D103" s="11">
        <v>0</v>
      </c>
      <c r="E103" s="11">
        <v>0</v>
      </c>
      <c r="F103" s="11">
        <v>0</v>
      </c>
      <c r="G103" s="11">
        <v>0</v>
      </c>
      <c r="H103" s="11">
        <v>0</v>
      </c>
      <c r="I103" s="11">
        <v>1.939398</v>
      </c>
      <c r="J103" s="11">
        <v>0.14000000000000001</v>
      </c>
      <c r="K103" s="11">
        <v>0</v>
      </c>
      <c r="L103" s="11">
        <v>0</v>
      </c>
      <c r="M103" s="11">
        <v>0.14000000000000001</v>
      </c>
      <c r="N103" s="11">
        <v>12.486875999999999</v>
      </c>
      <c r="O103" s="11">
        <v>2.832694</v>
      </c>
      <c r="P103" s="11">
        <v>0</v>
      </c>
      <c r="Q103" s="11">
        <v>1.3179989999999999</v>
      </c>
      <c r="R103" s="11">
        <v>0</v>
      </c>
    </row>
    <row r="104" spans="1:18" x14ac:dyDescent="0.25">
      <c r="A104" s="37">
        <v>2022</v>
      </c>
      <c r="B104">
        <v>51201</v>
      </c>
      <c r="C104" s="11">
        <v>46.984500000000004</v>
      </c>
      <c r="D104" s="11">
        <v>0.13370799999999999</v>
      </c>
      <c r="E104" s="11">
        <v>0</v>
      </c>
      <c r="F104" s="11">
        <v>0</v>
      </c>
      <c r="G104" s="11">
        <v>0</v>
      </c>
      <c r="H104" s="11">
        <v>0</v>
      </c>
      <c r="I104" s="11">
        <v>4.1809810000000001</v>
      </c>
      <c r="J104" s="11">
        <v>0</v>
      </c>
      <c r="K104" s="11">
        <v>0</v>
      </c>
      <c r="L104" s="11">
        <v>0.28000000000000003</v>
      </c>
      <c r="M104" s="11">
        <v>0.51</v>
      </c>
      <c r="N104" s="11">
        <v>18.688347999999998</v>
      </c>
      <c r="O104" s="11">
        <v>0</v>
      </c>
      <c r="P104" s="11">
        <v>0</v>
      </c>
      <c r="Q104" s="11">
        <v>3.103809</v>
      </c>
      <c r="R104" s="11">
        <v>0</v>
      </c>
    </row>
    <row r="105" spans="1:18" x14ac:dyDescent="0.25">
      <c r="A105" s="37">
        <v>2022</v>
      </c>
      <c r="B105">
        <v>51201</v>
      </c>
      <c r="C105" s="11">
        <v>64.325893999999991</v>
      </c>
      <c r="D105" s="11">
        <v>0</v>
      </c>
      <c r="E105" s="11">
        <v>0</v>
      </c>
      <c r="F105" s="11">
        <v>0</v>
      </c>
      <c r="G105" s="11">
        <v>0</v>
      </c>
      <c r="H105" s="11">
        <v>0.4</v>
      </c>
      <c r="I105" s="11">
        <v>6.257841</v>
      </c>
      <c r="J105" s="11">
        <v>0.64</v>
      </c>
      <c r="K105" s="11">
        <v>0</v>
      </c>
      <c r="L105" s="11">
        <v>0</v>
      </c>
      <c r="M105" s="11">
        <v>0.28000000000000003</v>
      </c>
      <c r="N105" s="11">
        <v>6.87601</v>
      </c>
      <c r="O105" s="11">
        <v>0</v>
      </c>
      <c r="P105" s="11">
        <v>0</v>
      </c>
      <c r="Q105" s="11">
        <v>23.548992999999999</v>
      </c>
      <c r="R105" s="11">
        <v>0</v>
      </c>
    </row>
    <row r="106" spans="1:18" x14ac:dyDescent="0.25">
      <c r="A106" s="37">
        <v>2022</v>
      </c>
      <c r="B106">
        <v>51201</v>
      </c>
      <c r="C106" s="11">
        <v>13.574988999999999</v>
      </c>
      <c r="D106" s="11">
        <v>0</v>
      </c>
      <c r="E106" s="11">
        <v>0</v>
      </c>
      <c r="F106" s="11">
        <v>0</v>
      </c>
      <c r="G106" s="11">
        <v>0</v>
      </c>
      <c r="H106" s="11">
        <v>0.235932</v>
      </c>
      <c r="I106" s="11">
        <v>0.95767999999999998</v>
      </c>
      <c r="J106" s="11">
        <v>0.117966</v>
      </c>
      <c r="K106" s="11">
        <v>0</v>
      </c>
      <c r="L106" s="11">
        <v>0</v>
      </c>
      <c r="M106" s="11">
        <v>0.117966</v>
      </c>
      <c r="N106" s="11">
        <v>0</v>
      </c>
      <c r="O106" s="11">
        <v>0</v>
      </c>
      <c r="P106" s="11">
        <v>0</v>
      </c>
      <c r="Q106" s="11">
        <v>0</v>
      </c>
      <c r="R106" s="11">
        <v>0</v>
      </c>
    </row>
    <row r="107" spans="1:18" x14ac:dyDescent="0.25">
      <c r="A107" s="37">
        <v>2022</v>
      </c>
      <c r="B107">
        <v>51227</v>
      </c>
      <c r="C107" s="11">
        <v>392.51340900000002</v>
      </c>
      <c r="D107" s="11">
        <v>101.67766399999999</v>
      </c>
      <c r="E107" s="11">
        <v>0</v>
      </c>
      <c r="F107" s="11">
        <v>0</v>
      </c>
      <c r="G107" s="11">
        <v>0</v>
      </c>
      <c r="H107" s="11">
        <v>0</v>
      </c>
      <c r="I107" s="11">
        <v>86.722602999999992</v>
      </c>
      <c r="J107" s="11">
        <v>5.0798629999999996</v>
      </c>
      <c r="K107" s="11">
        <v>0</v>
      </c>
      <c r="L107" s="11">
        <v>0</v>
      </c>
      <c r="M107" s="11">
        <v>17.234939000000001</v>
      </c>
      <c r="N107" s="11">
        <v>89.99901899999999</v>
      </c>
      <c r="O107" s="11">
        <v>60.243328999999996</v>
      </c>
      <c r="P107" s="11">
        <v>1.3846000000000001</v>
      </c>
      <c r="Q107" s="11">
        <v>162.31424200000001</v>
      </c>
      <c r="R107" s="11">
        <v>0</v>
      </c>
    </row>
    <row r="108" spans="1:18" x14ac:dyDescent="0.25">
      <c r="A108" s="37">
        <v>2022</v>
      </c>
      <c r="B108">
        <v>51227</v>
      </c>
      <c r="C108" s="11">
        <v>207.673721</v>
      </c>
      <c r="D108" s="11">
        <v>52.920293999999998</v>
      </c>
      <c r="E108" s="11">
        <v>0</v>
      </c>
      <c r="F108" s="11">
        <v>0</v>
      </c>
      <c r="G108" s="11">
        <v>0</v>
      </c>
      <c r="H108" s="11">
        <v>0</v>
      </c>
      <c r="I108" s="11">
        <v>50.789300000000004</v>
      </c>
      <c r="J108" s="11">
        <v>3</v>
      </c>
      <c r="K108" s="11">
        <v>0</v>
      </c>
      <c r="L108" s="11">
        <v>0</v>
      </c>
      <c r="M108" s="11">
        <v>2.9520960000000001</v>
      </c>
      <c r="N108" s="11">
        <v>0</v>
      </c>
      <c r="O108" s="11">
        <v>0</v>
      </c>
      <c r="P108" s="11">
        <v>89.630664999999993</v>
      </c>
      <c r="Q108" s="11">
        <v>91.661923999999999</v>
      </c>
      <c r="R108" s="11">
        <v>0</v>
      </c>
    </row>
    <row r="109" spans="1:18" x14ac:dyDescent="0.25">
      <c r="A109" s="37">
        <v>2022</v>
      </c>
      <c r="B109">
        <v>51227</v>
      </c>
      <c r="C109" s="11">
        <v>10.023835999999999</v>
      </c>
      <c r="D109" s="11">
        <v>0</v>
      </c>
      <c r="E109" s="11">
        <v>0</v>
      </c>
      <c r="F109" s="11">
        <v>0</v>
      </c>
      <c r="G109" s="11">
        <v>0</v>
      </c>
      <c r="H109" s="11">
        <v>0</v>
      </c>
      <c r="I109" s="11">
        <v>1.5408839999999999</v>
      </c>
      <c r="J109" s="11">
        <v>0</v>
      </c>
      <c r="K109" s="11">
        <v>0</v>
      </c>
      <c r="L109" s="11">
        <v>0</v>
      </c>
      <c r="M109" s="11">
        <v>9.4117999999999993E-2</v>
      </c>
      <c r="N109" s="11">
        <v>0</v>
      </c>
      <c r="O109" s="11">
        <v>0</v>
      </c>
      <c r="P109" s="11">
        <v>0.25653599999999999</v>
      </c>
      <c r="Q109" s="11">
        <v>9.2870139999999992</v>
      </c>
      <c r="R109" s="11">
        <v>0</v>
      </c>
    </row>
    <row r="110" spans="1:18" x14ac:dyDescent="0.25">
      <c r="A110" s="37">
        <v>2022</v>
      </c>
      <c r="B110">
        <v>51227</v>
      </c>
      <c r="C110" s="11">
        <v>372.244235</v>
      </c>
      <c r="D110" s="11">
        <v>112.138272</v>
      </c>
      <c r="E110" s="11">
        <v>0</v>
      </c>
      <c r="F110" s="11">
        <v>0</v>
      </c>
      <c r="G110" s="11">
        <v>0</v>
      </c>
      <c r="H110" s="11">
        <v>0</v>
      </c>
      <c r="I110" s="11">
        <v>61.401235999999997</v>
      </c>
      <c r="J110" s="11">
        <v>3</v>
      </c>
      <c r="K110" s="11">
        <v>0</v>
      </c>
      <c r="L110" s="11">
        <v>5</v>
      </c>
      <c r="M110" s="11">
        <v>12.5</v>
      </c>
      <c r="N110" s="11">
        <v>86.913837000000001</v>
      </c>
      <c r="O110" s="11">
        <v>50.402712000000001</v>
      </c>
      <c r="P110" s="11">
        <v>4.1997330000000002</v>
      </c>
      <c r="Q110" s="11">
        <v>160.09043299999999</v>
      </c>
      <c r="R110" s="11">
        <v>0</v>
      </c>
    </row>
    <row r="111" spans="1:18" x14ac:dyDescent="0.25">
      <c r="A111" s="37">
        <v>2022</v>
      </c>
      <c r="B111">
        <v>51227</v>
      </c>
      <c r="C111" s="11">
        <v>205.24016599999999</v>
      </c>
      <c r="D111" s="11">
        <v>74.874055999999996</v>
      </c>
      <c r="E111" s="11">
        <v>0</v>
      </c>
      <c r="F111" s="11">
        <v>0</v>
      </c>
      <c r="G111" s="11">
        <v>0</v>
      </c>
      <c r="H111" s="11">
        <v>0</v>
      </c>
      <c r="I111" s="11">
        <v>48.819224999999996</v>
      </c>
      <c r="J111" s="11">
        <v>0</v>
      </c>
      <c r="K111" s="11">
        <v>0</v>
      </c>
      <c r="L111" s="11">
        <v>0</v>
      </c>
      <c r="M111" s="11">
        <v>4.3262489999999998</v>
      </c>
      <c r="N111" s="11">
        <v>2.4510000000000001E-3</v>
      </c>
      <c r="O111" s="11">
        <v>0</v>
      </c>
      <c r="P111" s="11">
        <v>86.912819999999996</v>
      </c>
      <c r="Q111" s="11">
        <v>90.842755999999994</v>
      </c>
      <c r="R111" s="11">
        <v>0</v>
      </c>
    </row>
    <row r="112" spans="1:18" x14ac:dyDescent="0.25">
      <c r="A112" s="37">
        <v>2022</v>
      </c>
      <c r="B112">
        <v>51243</v>
      </c>
      <c r="C112" s="11">
        <v>1.9401659999999998</v>
      </c>
      <c r="D112" s="11">
        <v>1.4000000000000001</v>
      </c>
      <c r="E112" s="11">
        <v>0</v>
      </c>
      <c r="F112" s="11">
        <v>0</v>
      </c>
      <c r="G112" s="11">
        <v>0</v>
      </c>
      <c r="H112" s="11">
        <v>0</v>
      </c>
      <c r="I112" s="11">
        <v>0.56000000000000005</v>
      </c>
      <c r="J112" s="11">
        <v>0.120166</v>
      </c>
      <c r="K112" s="11">
        <v>0</v>
      </c>
      <c r="L112" s="11">
        <v>0</v>
      </c>
      <c r="M112" s="11">
        <v>0</v>
      </c>
      <c r="N112" s="11">
        <v>0</v>
      </c>
      <c r="O112" s="11">
        <v>0</v>
      </c>
      <c r="P112" s="11">
        <v>1.3310899999999999</v>
      </c>
      <c r="Q112" s="11">
        <v>0</v>
      </c>
      <c r="R112" s="11">
        <v>0</v>
      </c>
    </row>
    <row r="113" spans="1:18" x14ac:dyDescent="0.25">
      <c r="A113" s="37">
        <v>2022</v>
      </c>
      <c r="B113">
        <v>51243</v>
      </c>
      <c r="C113" s="11">
        <v>1.96</v>
      </c>
      <c r="D113" s="11">
        <v>0.94147999999999998</v>
      </c>
      <c r="E113" s="11">
        <v>0</v>
      </c>
      <c r="F113" s="11">
        <v>0</v>
      </c>
      <c r="G113" s="11">
        <v>0</v>
      </c>
      <c r="H113" s="11">
        <v>0</v>
      </c>
      <c r="I113" s="11">
        <v>0.98</v>
      </c>
      <c r="J113" s="11">
        <v>0</v>
      </c>
      <c r="K113" s="11">
        <v>0</v>
      </c>
      <c r="L113" s="11">
        <v>0</v>
      </c>
      <c r="M113" s="11">
        <v>0</v>
      </c>
      <c r="N113" s="11">
        <v>0</v>
      </c>
      <c r="O113" s="11">
        <v>0</v>
      </c>
      <c r="P113" s="11">
        <v>1.0145230000000001</v>
      </c>
      <c r="Q113" s="11">
        <v>0</v>
      </c>
      <c r="R113" s="11">
        <v>0</v>
      </c>
    </row>
    <row r="114" spans="1:18" x14ac:dyDescent="0.25">
      <c r="A114" s="37">
        <v>2022</v>
      </c>
      <c r="B114">
        <v>51243</v>
      </c>
      <c r="C114" s="11">
        <v>3.1148769999999999</v>
      </c>
      <c r="D114" s="11">
        <v>1.1348769999999999</v>
      </c>
      <c r="E114" s="11">
        <v>0</v>
      </c>
      <c r="F114" s="11">
        <v>0</v>
      </c>
      <c r="G114" s="11">
        <v>0</v>
      </c>
      <c r="H114" s="11">
        <v>0</v>
      </c>
      <c r="I114" s="11">
        <v>1.4000000000000001</v>
      </c>
      <c r="J114" s="11">
        <v>0</v>
      </c>
      <c r="K114" s="11">
        <v>0</v>
      </c>
      <c r="L114" s="11">
        <v>0</v>
      </c>
      <c r="M114" s="11">
        <v>0</v>
      </c>
      <c r="N114" s="11">
        <v>0</v>
      </c>
      <c r="O114" s="11">
        <v>0</v>
      </c>
      <c r="P114" s="11">
        <v>1.4018439999999999</v>
      </c>
      <c r="Q114" s="11">
        <v>0</v>
      </c>
      <c r="R114" s="11">
        <v>0</v>
      </c>
    </row>
    <row r="115" spans="1:18" x14ac:dyDescent="0.25">
      <c r="A115" s="37">
        <v>2022</v>
      </c>
      <c r="B115">
        <v>51243</v>
      </c>
      <c r="C115" s="11">
        <v>5.8738029999999997</v>
      </c>
      <c r="D115" s="11">
        <v>1.7769359999999998</v>
      </c>
      <c r="E115" s="11">
        <v>0</v>
      </c>
      <c r="F115" s="11">
        <v>0</v>
      </c>
      <c r="G115" s="11">
        <v>0</v>
      </c>
      <c r="H115" s="11">
        <v>0</v>
      </c>
      <c r="I115" s="11">
        <v>0.85</v>
      </c>
      <c r="J115" s="11">
        <v>0.14000000000000001</v>
      </c>
      <c r="K115" s="11">
        <v>0</v>
      </c>
      <c r="L115" s="11">
        <v>0</v>
      </c>
      <c r="M115" s="11">
        <v>0.14661099999999999</v>
      </c>
      <c r="N115" s="11">
        <v>0.35555599999999998</v>
      </c>
      <c r="O115" s="11">
        <v>0</v>
      </c>
      <c r="P115" s="11">
        <v>1.5710569999999999</v>
      </c>
      <c r="Q115" s="11">
        <v>0.41886699999999999</v>
      </c>
      <c r="R115" s="11">
        <v>0</v>
      </c>
    </row>
    <row r="116" spans="1:18" x14ac:dyDescent="0.25">
      <c r="A116" s="37">
        <v>2022</v>
      </c>
      <c r="B116">
        <v>51243</v>
      </c>
      <c r="C116" s="11">
        <v>369.512923</v>
      </c>
      <c r="D116" s="11">
        <v>132.151794</v>
      </c>
      <c r="E116" s="11">
        <v>0</v>
      </c>
      <c r="F116" s="11">
        <v>0</v>
      </c>
      <c r="G116" s="11">
        <v>0</v>
      </c>
      <c r="H116" s="11">
        <v>1</v>
      </c>
      <c r="I116" s="11">
        <v>81.581434000000002</v>
      </c>
      <c r="J116" s="11">
        <v>5.0282489999999997</v>
      </c>
      <c r="K116" s="11">
        <v>1</v>
      </c>
      <c r="L116" s="11">
        <v>0</v>
      </c>
      <c r="M116" s="11">
        <v>7.9253109999999998</v>
      </c>
      <c r="N116" s="11">
        <v>72.929687000000001</v>
      </c>
      <c r="O116" s="11">
        <v>66.159784000000002</v>
      </c>
      <c r="P116" s="11">
        <v>1.391799</v>
      </c>
      <c r="Q116" s="11">
        <v>131.73074600000001</v>
      </c>
      <c r="R116" s="11">
        <v>0</v>
      </c>
    </row>
    <row r="117" spans="1:18" x14ac:dyDescent="0.25">
      <c r="A117" s="37">
        <v>2022</v>
      </c>
      <c r="B117">
        <v>51243</v>
      </c>
      <c r="C117" s="11">
        <v>375.93774999999999</v>
      </c>
      <c r="D117" s="11">
        <v>157.445198</v>
      </c>
      <c r="E117" s="11">
        <v>0</v>
      </c>
      <c r="F117" s="11">
        <v>0</v>
      </c>
      <c r="G117" s="11">
        <v>0</v>
      </c>
      <c r="H117" s="11">
        <v>0</v>
      </c>
      <c r="I117" s="11">
        <v>79.877274</v>
      </c>
      <c r="J117" s="11">
        <v>4.8397730000000001</v>
      </c>
      <c r="K117" s="11">
        <v>1</v>
      </c>
      <c r="L117" s="11">
        <v>1</v>
      </c>
      <c r="M117" s="11">
        <v>12.083503</v>
      </c>
      <c r="N117" s="11">
        <v>97.76007899999999</v>
      </c>
      <c r="O117" s="11">
        <v>71.887087999999991</v>
      </c>
      <c r="P117" s="11">
        <v>2.4012579999999999</v>
      </c>
      <c r="Q117" s="11">
        <v>118.528432</v>
      </c>
      <c r="R117" s="11">
        <v>0</v>
      </c>
    </row>
    <row r="118" spans="1:18" x14ac:dyDescent="0.25">
      <c r="A118" s="37">
        <v>2022</v>
      </c>
      <c r="B118">
        <v>51284</v>
      </c>
      <c r="C118" s="11">
        <v>2.0136189999999998</v>
      </c>
      <c r="D118" s="11">
        <v>0</v>
      </c>
      <c r="E118" s="11">
        <v>0</v>
      </c>
      <c r="F118" s="11">
        <v>0</v>
      </c>
      <c r="G118" s="11">
        <v>0</v>
      </c>
      <c r="H118" s="11">
        <v>0</v>
      </c>
      <c r="I118" s="11">
        <v>0</v>
      </c>
      <c r="J118" s="11">
        <v>0</v>
      </c>
      <c r="K118" s="11">
        <v>0</v>
      </c>
      <c r="L118" s="11">
        <v>0</v>
      </c>
      <c r="M118" s="11">
        <v>0</v>
      </c>
      <c r="N118" s="11">
        <v>0</v>
      </c>
      <c r="O118" s="11">
        <v>0</v>
      </c>
      <c r="P118" s="11">
        <v>0</v>
      </c>
      <c r="Q118" s="11">
        <v>0</v>
      </c>
      <c r="R118" s="11">
        <v>0</v>
      </c>
    </row>
    <row r="119" spans="1:18" x14ac:dyDescent="0.25">
      <c r="A119" s="37">
        <v>2022</v>
      </c>
      <c r="B119">
        <v>51284</v>
      </c>
      <c r="C119" s="11">
        <v>40.759226999999996</v>
      </c>
      <c r="D119" s="11">
        <v>6.772996</v>
      </c>
      <c r="E119" s="11">
        <v>0</v>
      </c>
      <c r="F119" s="11">
        <v>3.2183999999999997E-2</v>
      </c>
      <c r="G119" s="11">
        <v>0</v>
      </c>
      <c r="H119" s="11">
        <v>0.26633599999999996</v>
      </c>
      <c r="I119" s="11">
        <v>3.7375029999999998</v>
      </c>
      <c r="J119" s="11">
        <v>0</v>
      </c>
      <c r="K119" s="11">
        <v>0</v>
      </c>
      <c r="L119" s="11">
        <v>0.16</v>
      </c>
      <c r="M119" s="11">
        <v>0.36863199999999996</v>
      </c>
      <c r="N119" s="11">
        <v>17.027365</v>
      </c>
      <c r="O119" s="11">
        <v>1.599621</v>
      </c>
      <c r="P119" s="11">
        <v>0</v>
      </c>
      <c r="Q119" s="11">
        <v>0</v>
      </c>
      <c r="R119" s="11">
        <v>0</v>
      </c>
    </row>
    <row r="120" spans="1:18" x14ac:dyDescent="0.25">
      <c r="A120" s="37">
        <v>2022</v>
      </c>
      <c r="B120">
        <v>51284</v>
      </c>
      <c r="C120" s="11">
        <v>61.994430999999999</v>
      </c>
      <c r="D120" s="11">
        <v>11.327581</v>
      </c>
      <c r="E120" s="11">
        <v>0</v>
      </c>
      <c r="F120" s="11">
        <v>0.26</v>
      </c>
      <c r="G120" s="11">
        <v>0</v>
      </c>
      <c r="H120" s="11">
        <v>3.2183999999999997E-2</v>
      </c>
      <c r="I120" s="11">
        <v>5.7149529999999995</v>
      </c>
      <c r="J120" s="11">
        <v>0.75195400000000001</v>
      </c>
      <c r="K120" s="11">
        <v>0.14000000000000001</v>
      </c>
      <c r="L120" s="11">
        <v>0</v>
      </c>
      <c r="M120" s="11">
        <v>0.27</v>
      </c>
      <c r="N120" s="11">
        <v>27.505027999999999</v>
      </c>
      <c r="O120" s="11">
        <v>1.084462</v>
      </c>
      <c r="P120" s="11">
        <v>0</v>
      </c>
      <c r="Q120" s="11">
        <v>0.89445299999999994</v>
      </c>
      <c r="R120" s="11">
        <v>0</v>
      </c>
    </row>
    <row r="121" spans="1:18" x14ac:dyDescent="0.25">
      <c r="A121" s="37">
        <v>2022</v>
      </c>
      <c r="B121">
        <v>51284</v>
      </c>
      <c r="C121" s="11">
        <v>69.528624999999991</v>
      </c>
      <c r="D121" s="11">
        <v>12.657338999999999</v>
      </c>
      <c r="E121" s="11">
        <v>0</v>
      </c>
      <c r="F121" s="11">
        <v>0.38</v>
      </c>
      <c r="G121" s="11">
        <v>0</v>
      </c>
      <c r="H121" s="11">
        <v>0</v>
      </c>
      <c r="I121" s="11">
        <v>5.7698469999999995</v>
      </c>
      <c r="J121" s="11">
        <v>0.26</v>
      </c>
      <c r="K121" s="11">
        <v>0</v>
      </c>
      <c r="L121" s="11">
        <v>0.13</v>
      </c>
      <c r="M121" s="11">
        <v>0.44</v>
      </c>
      <c r="N121" s="11">
        <v>52.354357999999998</v>
      </c>
      <c r="O121" s="11">
        <v>10.048603999999999</v>
      </c>
      <c r="P121" s="11">
        <v>0.15568199999999999</v>
      </c>
      <c r="Q121" s="11">
        <v>0</v>
      </c>
      <c r="R121" s="11">
        <v>0</v>
      </c>
    </row>
    <row r="122" spans="1:18" x14ac:dyDescent="0.25">
      <c r="A122" s="37">
        <v>2022</v>
      </c>
      <c r="B122">
        <v>51284</v>
      </c>
      <c r="C122" s="11">
        <v>63.316966999999998</v>
      </c>
      <c r="D122" s="11">
        <v>13.498735</v>
      </c>
      <c r="E122" s="11">
        <v>0</v>
      </c>
      <c r="F122" s="11">
        <v>0.139205</v>
      </c>
      <c r="G122" s="11">
        <v>0</v>
      </c>
      <c r="H122" s="11">
        <v>0.14000000000000001</v>
      </c>
      <c r="I122" s="11">
        <v>3.2403149999999998</v>
      </c>
      <c r="J122" s="11">
        <v>0.70114900000000002</v>
      </c>
      <c r="K122" s="11">
        <v>0</v>
      </c>
      <c r="L122" s="11">
        <v>0</v>
      </c>
      <c r="M122" s="11">
        <v>0.48</v>
      </c>
      <c r="N122" s="11">
        <v>41.244479999999996</v>
      </c>
      <c r="O122" s="11">
        <v>5.9901839999999993</v>
      </c>
      <c r="P122" s="11">
        <v>2.1239300000000001</v>
      </c>
      <c r="Q122" s="11">
        <v>0</v>
      </c>
      <c r="R122" s="11">
        <v>0</v>
      </c>
    </row>
    <row r="123" spans="1:18" x14ac:dyDescent="0.25">
      <c r="A123" s="37">
        <v>2022</v>
      </c>
      <c r="B123">
        <v>51284</v>
      </c>
      <c r="C123" s="11">
        <v>921.82882099999995</v>
      </c>
      <c r="D123" s="11">
        <v>78.401972000000001</v>
      </c>
      <c r="E123" s="11">
        <v>0</v>
      </c>
      <c r="F123" s="11">
        <v>2.139205</v>
      </c>
      <c r="G123" s="11">
        <v>0</v>
      </c>
      <c r="H123" s="11">
        <v>1</v>
      </c>
      <c r="I123" s="11">
        <v>124.733356</v>
      </c>
      <c r="J123" s="11">
        <v>4.8076409999999994</v>
      </c>
      <c r="K123" s="11">
        <v>1</v>
      </c>
      <c r="L123" s="11">
        <v>2</v>
      </c>
      <c r="M123" s="11">
        <v>8.716963999999999</v>
      </c>
      <c r="N123" s="11">
        <v>265.27380800000003</v>
      </c>
      <c r="O123" s="11">
        <v>142.405585</v>
      </c>
      <c r="P123" s="11">
        <v>4.0175640000000001</v>
      </c>
      <c r="Q123" s="11">
        <v>369.890828</v>
      </c>
      <c r="R123" s="11">
        <v>0</v>
      </c>
    </row>
    <row r="124" spans="1:18" x14ac:dyDescent="0.25">
      <c r="A124" s="37">
        <v>2022</v>
      </c>
      <c r="B124">
        <v>51284</v>
      </c>
      <c r="C124" s="11">
        <v>849.06364399999995</v>
      </c>
      <c r="D124" s="11">
        <v>169.03640799999999</v>
      </c>
      <c r="E124" s="11">
        <v>0</v>
      </c>
      <c r="F124" s="11">
        <v>2.17</v>
      </c>
      <c r="G124" s="11">
        <v>0</v>
      </c>
      <c r="H124" s="11">
        <v>1.28</v>
      </c>
      <c r="I124" s="11">
        <v>113.855796</v>
      </c>
      <c r="J124" s="11">
        <v>3.9914289999999997</v>
      </c>
      <c r="K124" s="11">
        <v>1</v>
      </c>
      <c r="L124" s="11">
        <v>2</v>
      </c>
      <c r="M124" s="11">
        <v>13.297758999999999</v>
      </c>
      <c r="N124" s="11">
        <v>336.513487</v>
      </c>
      <c r="O124" s="11">
        <v>131.846531</v>
      </c>
      <c r="P124" s="11">
        <v>10.709562999999999</v>
      </c>
      <c r="Q124" s="11">
        <v>236.08046100000001</v>
      </c>
      <c r="R124" s="11">
        <v>0</v>
      </c>
    </row>
    <row r="125" spans="1:18" x14ac:dyDescent="0.25">
      <c r="A125" s="37">
        <v>2022</v>
      </c>
      <c r="B125">
        <v>51300</v>
      </c>
      <c r="C125" s="11">
        <v>7.8155809999999999</v>
      </c>
      <c r="D125" s="11">
        <v>0</v>
      </c>
      <c r="E125" s="11">
        <v>0</v>
      </c>
      <c r="F125" s="11">
        <v>0</v>
      </c>
      <c r="G125" s="11">
        <v>0</v>
      </c>
      <c r="H125" s="11">
        <v>0</v>
      </c>
      <c r="I125" s="11">
        <v>0.28000000000000003</v>
      </c>
      <c r="J125" s="11">
        <v>0</v>
      </c>
      <c r="K125" s="11">
        <v>0</v>
      </c>
      <c r="L125" s="11">
        <v>0</v>
      </c>
      <c r="M125" s="11">
        <v>0</v>
      </c>
      <c r="N125" s="11">
        <v>3.091294</v>
      </c>
      <c r="O125" s="11">
        <v>0</v>
      </c>
      <c r="P125" s="11">
        <v>0</v>
      </c>
      <c r="Q125" s="11">
        <v>0</v>
      </c>
      <c r="R125" s="11">
        <v>0</v>
      </c>
    </row>
    <row r="126" spans="1:18" x14ac:dyDescent="0.25">
      <c r="A126" s="37">
        <v>2022</v>
      </c>
      <c r="B126">
        <v>51300</v>
      </c>
      <c r="C126" s="11">
        <v>7.98</v>
      </c>
      <c r="D126" s="11">
        <v>0</v>
      </c>
      <c r="E126" s="11">
        <v>0</v>
      </c>
      <c r="F126" s="11">
        <v>0</v>
      </c>
      <c r="G126" s="11">
        <v>0</v>
      </c>
      <c r="H126" s="11">
        <v>0.14000000000000001</v>
      </c>
      <c r="I126" s="11">
        <v>1.4000000000000001</v>
      </c>
      <c r="J126" s="11">
        <v>0</v>
      </c>
      <c r="K126" s="11">
        <v>0</v>
      </c>
      <c r="L126" s="11">
        <v>0</v>
      </c>
      <c r="M126" s="11">
        <v>0</v>
      </c>
      <c r="N126" s="11">
        <v>3.1666919999999998</v>
      </c>
      <c r="O126" s="11">
        <v>0</v>
      </c>
      <c r="P126" s="11">
        <v>0</v>
      </c>
      <c r="Q126" s="11">
        <v>0</v>
      </c>
      <c r="R126" s="11">
        <v>0</v>
      </c>
    </row>
    <row r="127" spans="1:18" x14ac:dyDescent="0.25">
      <c r="A127" s="37">
        <v>2022</v>
      </c>
      <c r="B127">
        <v>51300</v>
      </c>
      <c r="C127" s="11">
        <v>10.115402</v>
      </c>
      <c r="D127" s="11">
        <v>0</v>
      </c>
      <c r="E127" s="11">
        <v>0</v>
      </c>
      <c r="F127" s="11">
        <v>0</v>
      </c>
      <c r="G127" s="11">
        <v>0</v>
      </c>
      <c r="H127" s="11">
        <v>0</v>
      </c>
      <c r="I127" s="11">
        <v>1.1200000000000001</v>
      </c>
      <c r="J127" s="11">
        <v>0.27517199999999997</v>
      </c>
      <c r="K127" s="11">
        <v>0</v>
      </c>
      <c r="L127" s="11">
        <v>0</v>
      </c>
      <c r="M127" s="11">
        <v>0</v>
      </c>
      <c r="N127" s="11">
        <v>8.026173</v>
      </c>
      <c r="O127" s="11">
        <v>0</v>
      </c>
      <c r="P127" s="11">
        <v>0</v>
      </c>
      <c r="Q127" s="11">
        <v>0</v>
      </c>
      <c r="R127" s="11">
        <v>0</v>
      </c>
    </row>
    <row r="128" spans="1:18" x14ac:dyDescent="0.25">
      <c r="A128" s="37">
        <v>2022</v>
      </c>
      <c r="B128">
        <v>51300</v>
      </c>
      <c r="C128" s="11">
        <v>82.071362999999991</v>
      </c>
      <c r="D128" s="11">
        <v>22.642046000000001</v>
      </c>
      <c r="E128" s="11">
        <v>0</v>
      </c>
      <c r="F128" s="11">
        <v>0</v>
      </c>
      <c r="G128" s="11">
        <v>0</v>
      </c>
      <c r="H128" s="11">
        <v>0</v>
      </c>
      <c r="I128" s="11">
        <v>17.137045000000001</v>
      </c>
      <c r="J128" s="11">
        <v>0</v>
      </c>
      <c r="K128" s="11">
        <v>0</v>
      </c>
      <c r="L128" s="11">
        <v>0</v>
      </c>
      <c r="M128" s="11">
        <v>0</v>
      </c>
      <c r="N128" s="11">
        <v>6.8347959999999999</v>
      </c>
      <c r="O128" s="11">
        <v>0.27777999999999997</v>
      </c>
      <c r="P128" s="11">
        <v>23.213362999999998</v>
      </c>
      <c r="Q128" s="11">
        <v>35.037856999999995</v>
      </c>
      <c r="R128" s="11">
        <v>0</v>
      </c>
    </row>
    <row r="129" spans="1:18" x14ac:dyDescent="0.25">
      <c r="A129" s="37">
        <v>2022</v>
      </c>
      <c r="B129">
        <v>51300</v>
      </c>
      <c r="C129" s="11">
        <v>512.11837500000001</v>
      </c>
      <c r="D129" s="11">
        <v>156.563267</v>
      </c>
      <c r="E129" s="11">
        <v>0</v>
      </c>
      <c r="F129" s="11">
        <v>0</v>
      </c>
      <c r="G129" s="11">
        <v>0</v>
      </c>
      <c r="H129" s="11">
        <v>0</v>
      </c>
      <c r="I129" s="11">
        <v>91.818945999999997</v>
      </c>
      <c r="J129" s="11">
        <v>0</v>
      </c>
      <c r="K129" s="11">
        <v>0</v>
      </c>
      <c r="L129" s="11">
        <v>1</v>
      </c>
      <c r="M129" s="11">
        <v>9</v>
      </c>
      <c r="N129" s="11">
        <v>165.498974</v>
      </c>
      <c r="O129" s="11">
        <v>69.541888999999998</v>
      </c>
      <c r="P129" s="11">
        <v>0</v>
      </c>
      <c r="Q129" s="11">
        <v>190.567857</v>
      </c>
      <c r="R129" s="11">
        <v>0</v>
      </c>
    </row>
    <row r="130" spans="1:18" x14ac:dyDescent="0.25">
      <c r="A130" s="37">
        <v>2022</v>
      </c>
      <c r="B130">
        <v>51300</v>
      </c>
      <c r="C130" s="11">
        <v>413.17115799999999</v>
      </c>
      <c r="D130" s="11">
        <v>110.75267700000001</v>
      </c>
      <c r="E130" s="11">
        <v>0</v>
      </c>
      <c r="F130" s="11">
        <v>0</v>
      </c>
      <c r="G130" s="11">
        <v>0</v>
      </c>
      <c r="H130" s="11">
        <v>0</v>
      </c>
      <c r="I130" s="11">
        <v>71.620690999999994</v>
      </c>
      <c r="J130" s="11">
        <v>2</v>
      </c>
      <c r="K130" s="11">
        <v>0</v>
      </c>
      <c r="L130" s="11">
        <v>2</v>
      </c>
      <c r="M130" s="11">
        <v>9</v>
      </c>
      <c r="N130" s="11">
        <v>145.82621499999999</v>
      </c>
      <c r="O130" s="11">
        <v>58.719822999999998</v>
      </c>
      <c r="P130" s="11">
        <v>1.8748309999999999</v>
      </c>
      <c r="Q130" s="11">
        <v>120.33791600000001</v>
      </c>
      <c r="R130" s="11">
        <v>0</v>
      </c>
    </row>
    <row r="131" spans="1:18" x14ac:dyDescent="0.25">
      <c r="A131" s="37">
        <v>2022</v>
      </c>
      <c r="B131">
        <v>51334</v>
      </c>
      <c r="C131" s="11">
        <v>104.404774</v>
      </c>
      <c r="D131" s="11">
        <v>3.7675339999999999</v>
      </c>
      <c r="E131" s="11">
        <v>0</v>
      </c>
      <c r="F131" s="11">
        <v>0</v>
      </c>
      <c r="G131" s="11">
        <v>0</v>
      </c>
      <c r="H131" s="11">
        <v>0.14000000000000001</v>
      </c>
      <c r="I131" s="11">
        <v>8.2180749999999989</v>
      </c>
      <c r="J131" s="11">
        <v>0.67630000000000001</v>
      </c>
      <c r="K131" s="11">
        <v>0</v>
      </c>
      <c r="L131" s="11">
        <v>0</v>
      </c>
      <c r="M131" s="11">
        <v>0.12415</v>
      </c>
      <c r="N131" s="11">
        <v>49.587671</v>
      </c>
      <c r="O131" s="11">
        <v>20.611623999999999</v>
      </c>
      <c r="P131" s="11">
        <v>3.9256569999999997</v>
      </c>
      <c r="Q131" s="11">
        <v>2.012543</v>
      </c>
      <c r="R131" s="11">
        <v>2.0320299999999998</v>
      </c>
    </row>
    <row r="132" spans="1:18" x14ac:dyDescent="0.25">
      <c r="A132" s="37">
        <v>2022</v>
      </c>
      <c r="B132">
        <v>51334</v>
      </c>
      <c r="C132" s="11">
        <v>98.792336999999989</v>
      </c>
      <c r="D132" s="11">
        <v>5.0557729999999994</v>
      </c>
      <c r="E132" s="11">
        <v>0</v>
      </c>
      <c r="F132" s="11">
        <v>0</v>
      </c>
      <c r="G132" s="11">
        <v>0</v>
      </c>
      <c r="H132" s="11">
        <v>0.12</v>
      </c>
      <c r="I132" s="11">
        <v>11.593907999999999</v>
      </c>
      <c r="J132" s="11">
        <v>0.14752799999999999</v>
      </c>
      <c r="K132" s="11">
        <v>0</v>
      </c>
      <c r="L132" s="11">
        <v>0</v>
      </c>
      <c r="M132" s="11">
        <v>0.38</v>
      </c>
      <c r="N132" s="11">
        <v>45.176448000000001</v>
      </c>
      <c r="O132" s="11">
        <v>20.011758</v>
      </c>
      <c r="P132" s="11">
        <v>3.764319</v>
      </c>
      <c r="Q132" s="11">
        <v>0.42769299999999999</v>
      </c>
      <c r="R132" s="11">
        <v>2.974456</v>
      </c>
    </row>
    <row r="133" spans="1:18" x14ac:dyDescent="0.25">
      <c r="A133" s="37">
        <v>2022</v>
      </c>
      <c r="B133">
        <v>51334</v>
      </c>
      <c r="C133" s="11">
        <v>326.52497</v>
      </c>
      <c r="D133" s="11">
        <v>49.144044000000001</v>
      </c>
      <c r="E133" s="11">
        <v>0</v>
      </c>
      <c r="F133" s="11">
        <v>0</v>
      </c>
      <c r="G133" s="11">
        <v>0</v>
      </c>
      <c r="H133" s="11">
        <v>0</v>
      </c>
      <c r="I133" s="11">
        <v>59.959461999999995</v>
      </c>
      <c r="J133" s="11">
        <v>1.96</v>
      </c>
      <c r="K133" s="11">
        <v>0</v>
      </c>
      <c r="L133" s="11">
        <v>0</v>
      </c>
      <c r="M133" s="11">
        <v>5.0250000000000004</v>
      </c>
      <c r="N133" s="11">
        <v>94.780578999999989</v>
      </c>
      <c r="O133" s="11">
        <v>54.165547999999994</v>
      </c>
      <c r="P133" s="11">
        <v>5.0155009999999995</v>
      </c>
      <c r="Q133" s="11">
        <v>91.26379399999999</v>
      </c>
      <c r="R133" s="11">
        <v>2.41744</v>
      </c>
    </row>
    <row r="134" spans="1:18" x14ac:dyDescent="0.25">
      <c r="A134" s="37">
        <v>2022</v>
      </c>
      <c r="B134">
        <v>51334</v>
      </c>
      <c r="C134" s="11">
        <v>299.69690200000002</v>
      </c>
      <c r="D134" s="11">
        <v>75.923268999999991</v>
      </c>
      <c r="E134" s="11">
        <v>0</v>
      </c>
      <c r="F134" s="11">
        <v>1</v>
      </c>
      <c r="G134" s="11">
        <v>0</v>
      </c>
      <c r="H134" s="11">
        <v>0</v>
      </c>
      <c r="I134" s="11">
        <v>54.924940999999997</v>
      </c>
      <c r="J134" s="11">
        <v>3.0232169999999998</v>
      </c>
      <c r="K134" s="11">
        <v>0</v>
      </c>
      <c r="L134" s="11">
        <v>1.2386169999999999</v>
      </c>
      <c r="M134" s="11">
        <v>3.73</v>
      </c>
      <c r="N134" s="11">
        <v>94.862741</v>
      </c>
      <c r="O134" s="11">
        <v>56.727305999999999</v>
      </c>
      <c r="P134" s="11">
        <v>6.7058759999999999</v>
      </c>
      <c r="Q134" s="11">
        <v>64.695521999999997</v>
      </c>
      <c r="R134" s="11">
        <v>1.2222249999999999</v>
      </c>
    </row>
    <row r="135" spans="1:18" x14ac:dyDescent="0.25">
      <c r="A135" s="37">
        <v>2022</v>
      </c>
      <c r="B135">
        <v>51334</v>
      </c>
      <c r="C135" s="11">
        <v>5.8285719999999994</v>
      </c>
      <c r="D135" s="11">
        <v>0</v>
      </c>
      <c r="E135" s="11">
        <v>0</v>
      </c>
      <c r="F135" s="11">
        <v>0</v>
      </c>
      <c r="G135" s="11">
        <v>0</v>
      </c>
      <c r="H135" s="11">
        <v>0</v>
      </c>
      <c r="I135" s="11">
        <v>0.72</v>
      </c>
      <c r="J135" s="11">
        <v>0</v>
      </c>
      <c r="K135" s="11">
        <v>0</v>
      </c>
      <c r="L135" s="11">
        <v>0</v>
      </c>
      <c r="M135" s="11">
        <v>0.15428600000000001</v>
      </c>
      <c r="N135" s="11">
        <v>0</v>
      </c>
      <c r="O135" s="11">
        <v>0</v>
      </c>
      <c r="P135" s="11">
        <v>0</v>
      </c>
      <c r="Q135" s="11">
        <v>0</v>
      </c>
      <c r="R135" s="11">
        <v>0</v>
      </c>
    </row>
    <row r="136" spans="1:18" x14ac:dyDescent="0.25">
      <c r="A136" s="37">
        <v>2022</v>
      </c>
      <c r="B136">
        <v>51334</v>
      </c>
      <c r="C136" s="11">
        <v>35.51493</v>
      </c>
      <c r="D136" s="11">
        <v>3.1236009999999998</v>
      </c>
      <c r="E136" s="11">
        <v>0</v>
      </c>
      <c r="F136" s="11">
        <v>0</v>
      </c>
      <c r="G136" s="11">
        <v>0</v>
      </c>
      <c r="H136" s="11">
        <v>0.2</v>
      </c>
      <c r="I136" s="11">
        <v>4.0482579999999997</v>
      </c>
      <c r="J136" s="11">
        <v>0.19523499999999999</v>
      </c>
      <c r="K136" s="11">
        <v>0</v>
      </c>
      <c r="L136" s="11">
        <v>9.2878000000000002E-2</v>
      </c>
      <c r="M136" s="11">
        <v>0.13</v>
      </c>
      <c r="N136" s="11">
        <v>4.4343079999999997</v>
      </c>
      <c r="O136" s="11">
        <v>1.1327799999999999</v>
      </c>
      <c r="P136" s="11">
        <v>4.1614940000000002</v>
      </c>
      <c r="Q136" s="11">
        <v>10.080036999999999</v>
      </c>
      <c r="R136" s="11">
        <v>0</v>
      </c>
    </row>
    <row r="137" spans="1:18" x14ac:dyDescent="0.25">
      <c r="A137" s="37">
        <v>2022</v>
      </c>
      <c r="B137">
        <v>51334</v>
      </c>
      <c r="C137" s="11">
        <v>68.724069</v>
      </c>
      <c r="D137" s="11">
        <v>3.216631</v>
      </c>
      <c r="E137" s="11">
        <v>0</v>
      </c>
      <c r="F137" s="11">
        <v>0.13136999999999999</v>
      </c>
      <c r="G137" s="11">
        <v>0</v>
      </c>
      <c r="H137" s="11">
        <v>0</v>
      </c>
      <c r="I137" s="11">
        <v>7.8840109999999992</v>
      </c>
      <c r="J137" s="11">
        <v>0.18201699999999998</v>
      </c>
      <c r="K137" s="11">
        <v>0</v>
      </c>
      <c r="L137" s="11">
        <v>0.15970000000000001</v>
      </c>
      <c r="M137" s="11">
        <v>0.360157</v>
      </c>
      <c r="N137" s="11">
        <v>18.168976999999998</v>
      </c>
      <c r="O137" s="11">
        <v>1.1651320000000001</v>
      </c>
      <c r="P137" s="11">
        <v>8.8656849999999991</v>
      </c>
      <c r="Q137" s="11">
        <v>11.237701999999999</v>
      </c>
      <c r="R137" s="11">
        <v>0</v>
      </c>
    </row>
    <row r="138" spans="1:18" x14ac:dyDescent="0.25">
      <c r="A138" s="37">
        <v>2022</v>
      </c>
      <c r="B138">
        <v>51359</v>
      </c>
      <c r="C138" s="11">
        <v>78.049870999999996</v>
      </c>
      <c r="D138" s="11">
        <v>24.246568</v>
      </c>
      <c r="E138" s="11">
        <v>0</v>
      </c>
      <c r="F138" s="11">
        <v>0</v>
      </c>
      <c r="G138" s="11">
        <v>0</v>
      </c>
      <c r="H138" s="11">
        <v>0.25</v>
      </c>
      <c r="I138" s="11">
        <v>11.381898</v>
      </c>
      <c r="J138" s="11">
        <v>0.4</v>
      </c>
      <c r="K138" s="11">
        <v>0</v>
      </c>
      <c r="L138" s="11">
        <v>0.41000000000000003</v>
      </c>
      <c r="M138" s="11">
        <v>0.27</v>
      </c>
      <c r="N138" s="11">
        <v>40.574841999999997</v>
      </c>
      <c r="O138" s="11">
        <v>3.1763919999999999</v>
      </c>
      <c r="P138" s="11">
        <v>11.984885</v>
      </c>
      <c r="Q138" s="11">
        <v>0.82777899999999993</v>
      </c>
      <c r="R138" s="11">
        <v>7.9920159999999996</v>
      </c>
    </row>
    <row r="139" spans="1:18" x14ac:dyDescent="0.25">
      <c r="A139" s="37">
        <v>2022</v>
      </c>
      <c r="B139">
        <v>51359</v>
      </c>
      <c r="C139" s="11">
        <v>58.390639999999998</v>
      </c>
      <c r="D139" s="11">
        <v>16.531261000000001</v>
      </c>
      <c r="E139" s="11">
        <v>0</v>
      </c>
      <c r="F139" s="11">
        <v>0</v>
      </c>
      <c r="G139" s="11">
        <v>0</v>
      </c>
      <c r="H139" s="11">
        <v>0.24474899999999999</v>
      </c>
      <c r="I139" s="11">
        <v>3.8606509999999998</v>
      </c>
      <c r="J139" s="11">
        <v>0</v>
      </c>
      <c r="K139" s="11">
        <v>0</v>
      </c>
      <c r="L139" s="11">
        <v>0</v>
      </c>
      <c r="M139" s="11">
        <v>0.54921799999999998</v>
      </c>
      <c r="N139" s="11">
        <v>10.45031</v>
      </c>
      <c r="O139" s="11">
        <v>3.3246699999999998</v>
      </c>
      <c r="P139" s="11">
        <v>6.8841339999999995</v>
      </c>
      <c r="Q139" s="11">
        <v>0.32593</v>
      </c>
      <c r="R139" s="11">
        <v>14.124051</v>
      </c>
    </row>
    <row r="140" spans="1:18" x14ac:dyDescent="0.25">
      <c r="A140" s="37">
        <v>2022</v>
      </c>
      <c r="B140">
        <v>51359</v>
      </c>
      <c r="C140" s="11">
        <v>47.449106</v>
      </c>
      <c r="D140" s="11">
        <v>9.7706379999999999</v>
      </c>
      <c r="E140" s="11">
        <v>0</v>
      </c>
      <c r="F140" s="11">
        <v>0</v>
      </c>
      <c r="G140" s="11">
        <v>0</v>
      </c>
      <c r="H140" s="11">
        <v>0.5</v>
      </c>
      <c r="I140" s="11">
        <v>3.0606529999999998</v>
      </c>
      <c r="J140" s="11">
        <v>0.26</v>
      </c>
      <c r="K140" s="11">
        <v>0</v>
      </c>
      <c r="L140" s="11">
        <v>0</v>
      </c>
      <c r="M140" s="11">
        <v>0.39</v>
      </c>
      <c r="N140" s="11">
        <v>3.3092439999999996</v>
      </c>
      <c r="O140" s="11">
        <v>0.98429199999999994</v>
      </c>
      <c r="P140" s="11">
        <v>3.5000099999999996</v>
      </c>
      <c r="Q140" s="11">
        <v>0.68148999999999993</v>
      </c>
      <c r="R140" s="11">
        <v>16.085532999999998</v>
      </c>
    </row>
    <row r="141" spans="1:18" x14ac:dyDescent="0.25">
      <c r="A141" s="37">
        <v>2022</v>
      </c>
      <c r="B141">
        <v>51359</v>
      </c>
      <c r="C141" s="11">
        <v>774.23228199999994</v>
      </c>
      <c r="D141" s="11">
        <v>200.91213099999999</v>
      </c>
      <c r="E141" s="11">
        <v>0</v>
      </c>
      <c r="F141" s="11">
        <v>0</v>
      </c>
      <c r="G141" s="11">
        <v>0</v>
      </c>
      <c r="H141" s="11">
        <v>0.13</v>
      </c>
      <c r="I141" s="11">
        <v>170.019239</v>
      </c>
      <c r="J141" s="11">
        <v>6.1793259999999997</v>
      </c>
      <c r="K141" s="11">
        <v>0.13</v>
      </c>
      <c r="L141" s="11">
        <v>0.38</v>
      </c>
      <c r="M141" s="11">
        <v>12.666573999999999</v>
      </c>
      <c r="N141" s="11">
        <v>242.67237799999998</v>
      </c>
      <c r="O141" s="11">
        <v>117.318727</v>
      </c>
      <c r="P141" s="11">
        <v>38.410171999999996</v>
      </c>
      <c r="Q141" s="11">
        <v>291.03077200000001</v>
      </c>
      <c r="R141" s="11">
        <v>18.583829999999999</v>
      </c>
    </row>
    <row r="142" spans="1:18" x14ac:dyDescent="0.25">
      <c r="A142" s="37">
        <v>2022</v>
      </c>
      <c r="B142">
        <v>51359</v>
      </c>
      <c r="C142" s="11">
        <v>764.32652499999995</v>
      </c>
      <c r="D142" s="11">
        <v>200.80243899999999</v>
      </c>
      <c r="E142" s="11">
        <v>0</v>
      </c>
      <c r="F142" s="11">
        <v>0</v>
      </c>
      <c r="G142" s="11">
        <v>0</v>
      </c>
      <c r="H142" s="11">
        <v>0</v>
      </c>
      <c r="I142" s="11">
        <v>130.21089799999999</v>
      </c>
      <c r="J142" s="11">
        <v>8.4475990000000003</v>
      </c>
      <c r="K142" s="11">
        <v>3</v>
      </c>
      <c r="L142" s="11">
        <v>9.11</v>
      </c>
      <c r="M142" s="11">
        <v>15.163668999999999</v>
      </c>
      <c r="N142" s="11">
        <v>241.69573400000002</v>
      </c>
      <c r="O142" s="11">
        <v>152.07400000000001</v>
      </c>
      <c r="P142" s="11">
        <v>63.128589999999996</v>
      </c>
      <c r="Q142" s="11">
        <v>187.46650099999999</v>
      </c>
      <c r="R142" s="11">
        <v>22.834056</v>
      </c>
    </row>
    <row r="143" spans="1:18" x14ac:dyDescent="0.25">
      <c r="A143" s="37">
        <v>2022</v>
      </c>
      <c r="B143">
        <v>51359</v>
      </c>
      <c r="C143" s="11">
        <v>353.92721599999999</v>
      </c>
      <c r="D143" s="11">
        <v>76.729263000000003</v>
      </c>
      <c r="E143" s="11">
        <v>0</v>
      </c>
      <c r="F143" s="11">
        <v>0</v>
      </c>
      <c r="G143" s="11">
        <v>0</v>
      </c>
      <c r="H143" s="11">
        <v>0</v>
      </c>
      <c r="I143" s="11">
        <v>83.447519999999997</v>
      </c>
      <c r="J143" s="11">
        <v>5.443371</v>
      </c>
      <c r="K143" s="11">
        <v>3.269663</v>
      </c>
      <c r="L143" s="11">
        <v>0.13</v>
      </c>
      <c r="M143" s="11">
        <v>10.504832</v>
      </c>
      <c r="N143" s="11">
        <v>89.595871000000002</v>
      </c>
      <c r="O143" s="11">
        <v>37.089044000000001</v>
      </c>
      <c r="P143" s="11">
        <v>1.8359489999999998</v>
      </c>
      <c r="Q143" s="11">
        <v>154.439583</v>
      </c>
      <c r="R143" s="11">
        <v>15.944557999999999</v>
      </c>
    </row>
    <row r="144" spans="1:18" x14ac:dyDescent="0.25">
      <c r="A144" s="37">
        <v>2022</v>
      </c>
      <c r="B144">
        <v>51375</v>
      </c>
      <c r="C144" s="11">
        <v>193.281531</v>
      </c>
      <c r="D144" s="11">
        <v>193.281531</v>
      </c>
      <c r="E144" s="11">
        <v>0</v>
      </c>
      <c r="F144" s="11">
        <v>0</v>
      </c>
      <c r="G144" s="11">
        <v>0</v>
      </c>
      <c r="H144" s="11">
        <v>1</v>
      </c>
      <c r="I144" s="11">
        <v>48.352601</v>
      </c>
      <c r="J144" s="11">
        <v>0</v>
      </c>
      <c r="K144" s="11">
        <v>0</v>
      </c>
      <c r="L144" s="11">
        <v>3.1618499999999998</v>
      </c>
      <c r="M144" s="11">
        <v>6.085</v>
      </c>
      <c r="N144" s="11">
        <v>65.986853999999994</v>
      </c>
      <c r="O144" s="11">
        <v>12.708401</v>
      </c>
      <c r="P144" s="11">
        <v>5.1424969999999997</v>
      </c>
      <c r="Q144" s="11">
        <v>51.656656999999996</v>
      </c>
      <c r="R144" s="11">
        <v>0</v>
      </c>
    </row>
    <row r="145" spans="1:18" x14ac:dyDescent="0.25">
      <c r="A145" s="37">
        <v>2022</v>
      </c>
      <c r="B145">
        <v>51375</v>
      </c>
      <c r="C145" s="11">
        <v>214.58753899999999</v>
      </c>
      <c r="D145" s="11">
        <v>214.58753899999999</v>
      </c>
      <c r="E145" s="11">
        <v>0</v>
      </c>
      <c r="F145" s="11">
        <v>0</v>
      </c>
      <c r="G145" s="11">
        <v>0</v>
      </c>
      <c r="H145" s="11">
        <v>0</v>
      </c>
      <c r="I145" s="11">
        <v>37.494318999999997</v>
      </c>
      <c r="J145" s="11">
        <v>1</v>
      </c>
      <c r="K145" s="11">
        <v>0</v>
      </c>
      <c r="L145" s="11">
        <v>4.1590910000000001</v>
      </c>
      <c r="M145" s="11">
        <v>2.4615909999999999</v>
      </c>
      <c r="N145" s="11">
        <v>79.402652000000003</v>
      </c>
      <c r="O145" s="11">
        <v>15.936800000000002</v>
      </c>
      <c r="P145" s="11">
        <v>0</v>
      </c>
      <c r="Q145" s="11">
        <v>82.67183</v>
      </c>
      <c r="R145" s="11">
        <v>0</v>
      </c>
    </row>
    <row r="146" spans="1:18" x14ac:dyDescent="0.25">
      <c r="A146" s="37">
        <v>2022</v>
      </c>
      <c r="B146">
        <v>51375</v>
      </c>
      <c r="C146" s="11">
        <v>35.443182999999998</v>
      </c>
      <c r="D146" s="11">
        <v>35.443182999999998</v>
      </c>
      <c r="E146" s="11">
        <v>0</v>
      </c>
      <c r="F146" s="11">
        <v>0</v>
      </c>
      <c r="G146" s="11">
        <v>0</v>
      </c>
      <c r="H146" s="11">
        <v>0</v>
      </c>
      <c r="I146" s="11">
        <v>25.653409999999997</v>
      </c>
      <c r="J146" s="11">
        <v>2</v>
      </c>
      <c r="K146" s="11">
        <v>0.13068199999999999</v>
      </c>
      <c r="L146" s="11">
        <v>4</v>
      </c>
      <c r="M146" s="11">
        <v>2</v>
      </c>
      <c r="N146" s="11">
        <v>13.294181</v>
      </c>
      <c r="O146" s="11">
        <v>2.4229780000000001</v>
      </c>
      <c r="P146" s="11">
        <v>0</v>
      </c>
      <c r="Q146" s="11">
        <v>9.9172919999999998</v>
      </c>
      <c r="R146" s="11">
        <v>0</v>
      </c>
    </row>
    <row r="147" spans="1:18" x14ac:dyDescent="0.25">
      <c r="A147" s="37">
        <v>2022</v>
      </c>
      <c r="B147">
        <v>51375</v>
      </c>
      <c r="C147" s="11">
        <v>2.243808</v>
      </c>
      <c r="D147" s="11">
        <v>0</v>
      </c>
      <c r="E147" s="11">
        <v>0</v>
      </c>
      <c r="F147" s="11">
        <v>0</v>
      </c>
      <c r="G147" s="11">
        <v>0</v>
      </c>
      <c r="H147" s="11">
        <v>4.7699999999999999E-3</v>
      </c>
      <c r="I147" s="11">
        <v>0.36</v>
      </c>
      <c r="J147" s="11">
        <v>0</v>
      </c>
      <c r="K147" s="11">
        <v>0</v>
      </c>
      <c r="L147" s="11">
        <v>0.24</v>
      </c>
      <c r="M147" s="11">
        <v>0.12</v>
      </c>
      <c r="N147" s="11">
        <v>0</v>
      </c>
      <c r="O147" s="11">
        <v>0</v>
      </c>
      <c r="P147" s="11">
        <v>0</v>
      </c>
      <c r="Q147" s="11">
        <v>0</v>
      </c>
      <c r="R147" s="11">
        <v>0</v>
      </c>
    </row>
    <row r="148" spans="1:18" x14ac:dyDescent="0.25">
      <c r="A148" s="37">
        <v>2022</v>
      </c>
      <c r="B148">
        <v>51375</v>
      </c>
      <c r="C148" s="11">
        <v>1.8579159999999999</v>
      </c>
      <c r="D148" s="11">
        <v>0</v>
      </c>
      <c r="E148" s="11">
        <v>0</v>
      </c>
      <c r="F148" s="11">
        <v>0</v>
      </c>
      <c r="G148" s="11">
        <v>0</v>
      </c>
      <c r="H148" s="11">
        <v>0</v>
      </c>
      <c r="I148" s="11">
        <v>0.24</v>
      </c>
      <c r="J148" s="11">
        <v>0</v>
      </c>
      <c r="K148" s="11">
        <v>0</v>
      </c>
      <c r="L148" s="11">
        <v>0</v>
      </c>
      <c r="M148" s="11">
        <v>0</v>
      </c>
      <c r="N148" s="11">
        <v>0</v>
      </c>
      <c r="O148" s="11">
        <v>0</v>
      </c>
      <c r="P148" s="11">
        <v>0</v>
      </c>
      <c r="Q148" s="11">
        <v>0</v>
      </c>
      <c r="R148" s="11">
        <v>0</v>
      </c>
    </row>
    <row r="149" spans="1:18" x14ac:dyDescent="0.25">
      <c r="A149" s="37">
        <v>2022</v>
      </c>
      <c r="B149">
        <v>51391</v>
      </c>
      <c r="C149" s="11">
        <v>294.04873900000001</v>
      </c>
      <c r="D149" s="11">
        <v>83.679101000000003</v>
      </c>
      <c r="E149" s="11">
        <v>0</v>
      </c>
      <c r="F149" s="11">
        <v>0</v>
      </c>
      <c r="G149" s="11">
        <v>0</v>
      </c>
      <c r="H149" s="11">
        <v>0</v>
      </c>
      <c r="I149" s="11">
        <v>70.370111999999992</v>
      </c>
      <c r="J149" s="11">
        <v>3.0920229999999997</v>
      </c>
      <c r="K149" s="11">
        <v>0.5</v>
      </c>
      <c r="L149" s="11">
        <v>1.5</v>
      </c>
      <c r="M149" s="11">
        <v>9.3005619999999993</v>
      </c>
      <c r="N149" s="11">
        <v>75.151788999999994</v>
      </c>
      <c r="O149" s="11">
        <v>66.723905999999999</v>
      </c>
      <c r="P149" s="11">
        <v>0</v>
      </c>
      <c r="Q149" s="11">
        <v>80.546965999999998</v>
      </c>
      <c r="R149" s="11">
        <v>0</v>
      </c>
    </row>
    <row r="150" spans="1:18" x14ac:dyDescent="0.25">
      <c r="A150" s="37">
        <v>2022</v>
      </c>
      <c r="B150">
        <v>51391</v>
      </c>
      <c r="C150" s="11">
        <v>381.85624899999999</v>
      </c>
      <c r="D150" s="11">
        <v>120.663703</v>
      </c>
      <c r="E150" s="11">
        <v>0</v>
      </c>
      <c r="F150" s="11">
        <v>0</v>
      </c>
      <c r="G150" s="11">
        <v>0</v>
      </c>
      <c r="H150" s="11">
        <v>0</v>
      </c>
      <c r="I150" s="11">
        <v>82.228961999999996</v>
      </c>
      <c r="J150" s="11">
        <v>6.3314599999999999</v>
      </c>
      <c r="K150" s="11">
        <v>0</v>
      </c>
      <c r="L150" s="11">
        <v>0</v>
      </c>
      <c r="M150" s="11">
        <v>3.9107859999999999</v>
      </c>
      <c r="N150" s="11">
        <v>87.908608000000001</v>
      </c>
      <c r="O150" s="11">
        <v>83.411100000000005</v>
      </c>
      <c r="P150" s="11">
        <v>0</v>
      </c>
      <c r="Q150" s="11">
        <v>62.058973999999999</v>
      </c>
      <c r="R150" s="11">
        <v>0</v>
      </c>
    </row>
    <row r="151" spans="1:18" x14ac:dyDescent="0.25">
      <c r="A151" s="37">
        <v>2022</v>
      </c>
      <c r="B151">
        <v>51417</v>
      </c>
      <c r="C151" s="11">
        <v>4.1903889999999997</v>
      </c>
      <c r="D151" s="11">
        <v>1.3208959999999998</v>
      </c>
      <c r="E151" s="11">
        <v>0</v>
      </c>
      <c r="F151" s="11">
        <v>0</v>
      </c>
      <c r="G151" s="11">
        <v>0</v>
      </c>
      <c r="H151" s="11">
        <v>3.2723999999999996E-2</v>
      </c>
      <c r="I151" s="11">
        <v>0.52862900000000002</v>
      </c>
      <c r="J151" s="11">
        <v>0</v>
      </c>
      <c r="K151" s="11">
        <v>0</v>
      </c>
      <c r="L151" s="11">
        <v>0</v>
      </c>
      <c r="M151" s="11">
        <v>7.0000000000000007E-2</v>
      </c>
      <c r="N151" s="11">
        <v>0</v>
      </c>
      <c r="O151" s="11">
        <v>0</v>
      </c>
      <c r="P151" s="11">
        <v>0</v>
      </c>
      <c r="Q151" s="11">
        <v>0</v>
      </c>
      <c r="R151" s="11">
        <v>0</v>
      </c>
    </row>
    <row r="152" spans="1:18" x14ac:dyDescent="0.25">
      <c r="A152" s="37">
        <v>2022</v>
      </c>
      <c r="B152">
        <v>51417</v>
      </c>
      <c r="C152" s="11">
        <v>24.879960000000001</v>
      </c>
      <c r="D152" s="11">
        <v>9.1943409999999997</v>
      </c>
      <c r="E152" s="11">
        <v>0</v>
      </c>
      <c r="F152" s="11">
        <v>0</v>
      </c>
      <c r="G152" s="11">
        <v>0</v>
      </c>
      <c r="H152" s="11">
        <v>0.38</v>
      </c>
      <c r="I152" s="11">
        <v>2.805898</v>
      </c>
      <c r="J152" s="11">
        <v>5.0678000000000001E-2</v>
      </c>
      <c r="K152" s="11">
        <v>0.109167</v>
      </c>
      <c r="L152" s="11">
        <v>0.16158</v>
      </c>
      <c r="M152" s="11">
        <v>0.16231999999999999</v>
      </c>
      <c r="N152" s="11">
        <v>2.1660089999999999</v>
      </c>
      <c r="O152" s="11">
        <v>1.7559749999999998</v>
      </c>
      <c r="P152" s="11">
        <v>0</v>
      </c>
      <c r="Q152" s="11">
        <v>0.88153300000000001</v>
      </c>
      <c r="R152" s="11">
        <v>1.34636</v>
      </c>
    </row>
    <row r="153" spans="1:18" x14ac:dyDescent="0.25">
      <c r="A153" s="37">
        <v>2022</v>
      </c>
      <c r="B153">
        <v>51417</v>
      </c>
      <c r="C153" s="11">
        <v>36.533896999999996</v>
      </c>
      <c r="D153" s="11">
        <v>10.822329</v>
      </c>
      <c r="E153" s="11">
        <v>0</v>
      </c>
      <c r="F153" s="11">
        <v>0</v>
      </c>
      <c r="G153" s="11">
        <v>0</v>
      </c>
      <c r="H153" s="11">
        <v>0.38</v>
      </c>
      <c r="I153" s="11">
        <v>3.5325949999999997</v>
      </c>
      <c r="J153" s="11">
        <v>0</v>
      </c>
      <c r="K153" s="11">
        <v>0</v>
      </c>
      <c r="L153" s="11">
        <v>0</v>
      </c>
      <c r="M153" s="11">
        <v>0.11</v>
      </c>
      <c r="N153" s="11">
        <v>5.7634289999999995</v>
      </c>
      <c r="O153" s="11">
        <v>1.160679</v>
      </c>
      <c r="P153" s="11">
        <v>0</v>
      </c>
      <c r="Q153" s="11">
        <v>1.2342789999999999</v>
      </c>
      <c r="R153" s="11">
        <v>8.5061160000000005</v>
      </c>
    </row>
    <row r="154" spans="1:18" x14ac:dyDescent="0.25">
      <c r="A154" s="37">
        <v>2022</v>
      </c>
      <c r="B154">
        <v>51417</v>
      </c>
      <c r="C154" s="11">
        <v>42.782947</v>
      </c>
      <c r="D154" s="11">
        <v>15.449969999999999</v>
      </c>
      <c r="E154" s="11">
        <v>0</v>
      </c>
      <c r="F154" s="11">
        <v>0</v>
      </c>
      <c r="G154" s="11">
        <v>0</v>
      </c>
      <c r="H154" s="11">
        <v>0.13</v>
      </c>
      <c r="I154" s="11">
        <v>5.2738879999999995</v>
      </c>
      <c r="J154" s="11">
        <v>0.27</v>
      </c>
      <c r="K154" s="11">
        <v>0</v>
      </c>
      <c r="L154" s="11">
        <v>0</v>
      </c>
      <c r="M154" s="11">
        <v>0.85308799999999996</v>
      </c>
      <c r="N154" s="11">
        <v>10.22303</v>
      </c>
      <c r="O154" s="11">
        <v>0</v>
      </c>
      <c r="P154" s="11">
        <v>0</v>
      </c>
      <c r="Q154" s="11">
        <v>0</v>
      </c>
      <c r="R154" s="11">
        <v>7.8379719999999997</v>
      </c>
    </row>
    <row r="155" spans="1:18" x14ac:dyDescent="0.25">
      <c r="A155" s="37">
        <v>2022</v>
      </c>
      <c r="B155">
        <v>51417</v>
      </c>
      <c r="C155" s="11">
        <v>49.891726999999996</v>
      </c>
      <c r="D155" s="11">
        <v>18.193653999999999</v>
      </c>
      <c r="E155" s="11">
        <v>0</v>
      </c>
      <c r="F155" s="11">
        <v>0</v>
      </c>
      <c r="G155" s="11">
        <v>0</v>
      </c>
      <c r="H155" s="11">
        <v>0</v>
      </c>
      <c r="I155" s="11">
        <v>7.2605149999999998</v>
      </c>
      <c r="J155" s="11">
        <v>0</v>
      </c>
      <c r="K155" s="11">
        <v>0</v>
      </c>
      <c r="L155" s="11">
        <v>0.38</v>
      </c>
      <c r="M155" s="11">
        <v>0.64</v>
      </c>
      <c r="N155" s="11">
        <v>10.244866</v>
      </c>
      <c r="O155" s="11">
        <v>0.5</v>
      </c>
      <c r="P155" s="11">
        <v>0</v>
      </c>
      <c r="Q155" s="11">
        <v>1.670242</v>
      </c>
      <c r="R155" s="11">
        <v>12.662803</v>
      </c>
    </row>
    <row r="156" spans="1:18" x14ac:dyDescent="0.25">
      <c r="A156" s="37">
        <v>2022</v>
      </c>
      <c r="B156">
        <v>51417</v>
      </c>
      <c r="C156" s="11">
        <v>579.50300000000004</v>
      </c>
      <c r="D156" s="11">
        <v>122.39461900000001</v>
      </c>
      <c r="E156" s="11">
        <v>0</v>
      </c>
      <c r="F156" s="11">
        <v>0</v>
      </c>
      <c r="G156" s="11">
        <v>0</v>
      </c>
      <c r="H156" s="11">
        <v>0</v>
      </c>
      <c r="I156" s="11">
        <v>99.525633999999997</v>
      </c>
      <c r="J156" s="11">
        <v>4.13</v>
      </c>
      <c r="K156" s="11">
        <v>0</v>
      </c>
      <c r="L156" s="11">
        <v>2</v>
      </c>
      <c r="M156" s="11">
        <v>10.986405999999999</v>
      </c>
      <c r="N156" s="11">
        <v>161.04380499999999</v>
      </c>
      <c r="O156" s="11">
        <v>94.010236999999989</v>
      </c>
      <c r="P156" s="11">
        <v>0</v>
      </c>
      <c r="Q156" s="11">
        <v>208.634694</v>
      </c>
      <c r="R156" s="11">
        <v>3.536</v>
      </c>
    </row>
    <row r="157" spans="1:18" x14ac:dyDescent="0.25">
      <c r="A157" s="37">
        <v>2022</v>
      </c>
      <c r="B157">
        <v>51417</v>
      </c>
      <c r="C157" s="11">
        <v>540.55714599999999</v>
      </c>
      <c r="D157" s="11">
        <v>163.67637400000001</v>
      </c>
      <c r="E157" s="11">
        <v>0</v>
      </c>
      <c r="F157" s="11">
        <v>0</v>
      </c>
      <c r="G157" s="11">
        <v>0</v>
      </c>
      <c r="H157" s="11">
        <v>0</v>
      </c>
      <c r="I157" s="11">
        <v>94.790482999999995</v>
      </c>
      <c r="J157" s="11">
        <v>7.3352489999999992</v>
      </c>
      <c r="K157" s="11">
        <v>0</v>
      </c>
      <c r="L157" s="11">
        <v>11</v>
      </c>
      <c r="M157" s="11">
        <v>9.8751069999999999</v>
      </c>
      <c r="N157" s="11">
        <v>148.20641599999999</v>
      </c>
      <c r="O157" s="11">
        <v>92.919682999999992</v>
      </c>
      <c r="P157" s="11">
        <v>2.986145</v>
      </c>
      <c r="Q157" s="11">
        <v>173.65244999999999</v>
      </c>
      <c r="R157" s="11">
        <v>7.2201079999999997</v>
      </c>
    </row>
    <row r="158" spans="1:18" x14ac:dyDescent="0.25">
      <c r="A158" s="37">
        <v>2022</v>
      </c>
      <c r="B158">
        <v>51433</v>
      </c>
      <c r="C158" s="11">
        <v>1.02</v>
      </c>
      <c r="D158" s="11">
        <v>0</v>
      </c>
      <c r="E158" s="11">
        <v>0</v>
      </c>
      <c r="F158" s="11">
        <v>0</v>
      </c>
      <c r="G158" s="11">
        <v>0</v>
      </c>
      <c r="H158" s="11">
        <v>0</v>
      </c>
      <c r="I158" s="11">
        <v>0</v>
      </c>
      <c r="J158" s="11">
        <v>0</v>
      </c>
      <c r="K158" s="11">
        <v>0</v>
      </c>
      <c r="L158" s="11">
        <v>0</v>
      </c>
      <c r="M158" s="11">
        <v>0</v>
      </c>
      <c r="N158" s="11">
        <v>0.318658</v>
      </c>
      <c r="O158" s="11">
        <v>0</v>
      </c>
      <c r="P158" s="11">
        <v>0</v>
      </c>
      <c r="Q158" s="11">
        <v>0</v>
      </c>
      <c r="R158" s="11">
        <v>0</v>
      </c>
    </row>
    <row r="159" spans="1:18" x14ac:dyDescent="0.25">
      <c r="A159" s="37">
        <v>2022</v>
      </c>
      <c r="B159">
        <v>51433</v>
      </c>
      <c r="C159" s="11">
        <v>22.748213999999997</v>
      </c>
      <c r="D159" s="11">
        <v>6.9046379999999994</v>
      </c>
      <c r="E159" s="11">
        <v>0</v>
      </c>
      <c r="F159" s="11">
        <v>0</v>
      </c>
      <c r="G159" s="11">
        <v>0</v>
      </c>
      <c r="H159" s="11">
        <v>0.12853899999999999</v>
      </c>
      <c r="I159" s="11">
        <v>2.5339139999999998</v>
      </c>
      <c r="J159" s="11">
        <v>0</v>
      </c>
      <c r="K159" s="11">
        <v>9.6628999999999993E-2</v>
      </c>
      <c r="L159" s="11">
        <v>0.12853899999999999</v>
      </c>
      <c r="M159" s="11">
        <v>0.119326</v>
      </c>
      <c r="N159" s="11">
        <v>0.70230700000000001</v>
      </c>
      <c r="O159" s="11">
        <v>0</v>
      </c>
      <c r="P159" s="11">
        <v>1.2354749999999999</v>
      </c>
      <c r="Q159" s="11">
        <v>0</v>
      </c>
      <c r="R159" s="11">
        <v>0</v>
      </c>
    </row>
    <row r="160" spans="1:18" x14ac:dyDescent="0.25">
      <c r="A160" s="37">
        <v>2022</v>
      </c>
      <c r="B160">
        <v>51433</v>
      </c>
      <c r="C160" s="11">
        <v>87.574794999999995</v>
      </c>
      <c r="D160" s="11">
        <v>24.548254</v>
      </c>
      <c r="E160" s="11">
        <v>0</v>
      </c>
      <c r="F160" s="11">
        <v>0</v>
      </c>
      <c r="G160" s="11">
        <v>0</v>
      </c>
      <c r="H160" s="11">
        <v>0</v>
      </c>
      <c r="I160" s="11">
        <v>9.261156999999999</v>
      </c>
      <c r="J160" s="11">
        <v>0.35797799999999996</v>
      </c>
      <c r="K160" s="11">
        <v>0.24932599999999999</v>
      </c>
      <c r="L160" s="11">
        <v>0</v>
      </c>
      <c r="M160" s="11">
        <v>0.52</v>
      </c>
      <c r="N160" s="11">
        <v>35.764221999999997</v>
      </c>
      <c r="O160" s="11">
        <v>11.831655</v>
      </c>
      <c r="P160" s="11">
        <v>9.1192759999999993</v>
      </c>
      <c r="Q160" s="11">
        <v>0</v>
      </c>
      <c r="R160" s="11">
        <v>2.419746</v>
      </c>
    </row>
    <row r="161" spans="1:18" x14ac:dyDescent="0.25">
      <c r="A161" s="37">
        <v>2022</v>
      </c>
      <c r="B161">
        <v>51433</v>
      </c>
      <c r="C161" s="11">
        <v>116.738975</v>
      </c>
      <c r="D161" s="11">
        <v>32.162179999999999</v>
      </c>
      <c r="E161" s="11">
        <v>0</v>
      </c>
      <c r="F161" s="11">
        <v>0</v>
      </c>
      <c r="G161" s="11">
        <v>0</v>
      </c>
      <c r="H161" s="11">
        <v>0</v>
      </c>
      <c r="I161" s="11">
        <v>12.76224</v>
      </c>
      <c r="J161" s="11">
        <v>0.40845799999999999</v>
      </c>
      <c r="K161" s="11">
        <v>0</v>
      </c>
      <c r="L161" s="11">
        <v>0.21</v>
      </c>
      <c r="M161" s="11">
        <v>0.92276199999999997</v>
      </c>
      <c r="N161" s="11">
        <v>47.065886999999996</v>
      </c>
      <c r="O161" s="11">
        <v>15.435556999999999</v>
      </c>
      <c r="P161" s="11">
        <v>7.5214409999999994</v>
      </c>
      <c r="Q161" s="11">
        <v>1.1174809999999999</v>
      </c>
      <c r="R161" s="11">
        <v>7.6425039999999997</v>
      </c>
    </row>
    <row r="162" spans="1:18" x14ac:dyDescent="0.25">
      <c r="A162" s="37">
        <v>2022</v>
      </c>
      <c r="B162">
        <v>51433</v>
      </c>
      <c r="C162" s="11">
        <v>383.58946000000003</v>
      </c>
      <c r="D162" s="11">
        <v>156.62253899999999</v>
      </c>
      <c r="E162" s="11">
        <v>0</v>
      </c>
      <c r="F162" s="11">
        <v>0</v>
      </c>
      <c r="G162" s="11">
        <v>0</v>
      </c>
      <c r="H162" s="11">
        <v>1</v>
      </c>
      <c r="I162" s="11">
        <v>56.612821999999994</v>
      </c>
      <c r="J162" s="11">
        <v>3.743134</v>
      </c>
      <c r="K162" s="11">
        <v>0</v>
      </c>
      <c r="L162" s="11">
        <v>3</v>
      </c>
      <c r="M162" s="11">
        <v>4.5876159999999997</v>
      </c>
      <c r="N162" s="11">
        <v>139.42732699999999</v>
      </c>
      <c r="O162" s="11">
        <v>60.271566</v>
      </c>
      <c r="P162" s="11">
        <v>1.0020849999999999</v>
      </c>
      <c r="Q162" s="11">
        <v>146.064942</v>
      </c>
      <c r="R162" s="11">
        <v>2.921503</v>
      </c>
    </row>
    <row r="163" spans="1:18" x14ac:dyDescent="0.25">
      <c r="A163" s="37">
        <v>2022</v>
      </c>
      <c r="B163">
        <v>51433</v>
      </c>
      <c r="C163" s="11">
        <v>358.30794200000003</v>
      </c>
      <c r="D163" s="11">
        <v>284.53474799999998</v>
      </c>
      <c r="E163" s="11">
        <v>0</v>
      </c>
      <c r="F163" s="11">
        <v>1</v>
      </c>
      <c r="G163" s="11">
        <v>0</v>
      </c>
      <c r="H163" s="11">
        <v>0</v>
      </c>
      <c r="I163" s="11">
        <v>51.085509999999999</v>
      </c>
      <c r="J163" s="11">
        <v>1.8671909999999998</v>
      </c>
      <c r="K163" s="11">
        <v>0</v>
      </c>
      <c r="L163" s="11">
        <v>9.842022</v>
      </c>
      <c r="M163" s="11">
        <v>15.863482999999999</v>
      </c>
      <c r="N163" s="11">
        <v>106.15769899999999</v>
      </c>
      <c r="O163" s="11">
        <v>65.505352999999999</v>
      </c>
      <c r="P163" s="11">
        <v>4.4515190000000002</v>
      </c>
      <c r="Q163" s="11">
        <v>78.245541000000003</v>
      </c>
      <c r="R163" s="11">
        <v>3.9250629999999997</v>
      </c>
    </row>
    <row r="164" spans="1:18" x14ac:dyDescent="0.25">
      <c r="A164" s="37">
        <v>2022</v>
      </c>
      <c r="B164">
        <v>51458</v>
      </c>
      <c r="C164" s="11">
        <v>2.9498579999999999</v>
      </c>
      <c r="D164" s="11">
        <v>0</v>
      </c>
      <c r="E164" s="11">
        <v>0</v>
      </c>
      <c r="F164" s="11">
        <v>0</v>
      </c>
      <c r="G164" s="11">
        <v>0</v>
      </c>
      <c r="H164" s="11">
        <v>0</v>
      </c>
      <c r="I164" s="11">
        <v>0.62</v>
      </c>
      <c r="J164" s="11">
        <v>0</v>
      </c>
      <c r="K164" s="11">
        <v>0</v>
      </c>
      <c r="L164" s="11">
        <v>0.12</v>
      </c>
      <c r="M164" s="11">
        <v>0.12</v>
      </c>
      <c r="N164" s="11">
        <v>0</v>
      </c>
      <c r="O164" s="11">
        <v>0</v>
      </c>
      <c r="P164" s="11">
        <v>0</v>
      </c>
      <c r="Q164" s="11">
        <v>0</v>
      </c>
      <c r="R164" s="11">
        <v>0</v>
      </c>
    </row>
    <row r="165" spans="1:18" x14ac:dyDescent="0.25">
      <c r="A165" s="37">
        <v>2022</v>
      </c>
      <c r="B165">
        <v>51458</v>
      </c>
      <c r="C165" s="11">
        <v>5.8085290000000001</v>
      </c>
      <c r="D165" s="11">
        <v>0</v>
      </c>
      <c r="E165" s="11">
        <v>0</v>
      </c>
      <c r="F165" s="11">
        <v>0</v>
      </c>
      <c r="G165" s="11">
        <v>0</v>
      </c>
      <c r="H165" s="11">
        <v>0.24</v>
      </c>
      <c r="I165" s="11">
        <v>1.08</v>
      </c>
      <c r="J165" s="11">
        <v>0</v>
      </c>
      <c r="K165" s="11">
        <v>0</v>
      </c>
      <c r="L165" s="11">
        <v>0</v>
      </c>
      <c r="M165" s="11">
        <v>0</v>
      </c>
      <c r="N165" s="11">
        <v>1.1111199999999999</v>
      </c>
      <c r="O165" s="11">
        <v>0</v>
      </c>
      <c r="P165" s="11">
        <v>0</v>
      </c>
      <c r="Q165" s="11">
        <v>0</v>
      </c>
      <c r="R165" s="11">
        <v>1.731976</v>
      </c>
    </row>
    <row r="166" spans="1:18" x14ac:dyDescent="0.25">
      <c r="A166" s="37">
        <v>2022</v>
      </c>
      <c r="B166">
        <v>51458</v>
      </c>
      <c r="C166" s="11">
        <v>17.951539999999998</v>
      </c>
      <c r="D166" s="11">
        <v>3.4314899999999997</v>
      </c>
      <c r="E166" s="11">
        <v>0</v>
      </c>
      <c r="F166" s="11">
        <v>0</v>
      </c>
      <c r="G166" s="11">
        <v>0</v>
      </c>
      <c r="H166" s="11">
        <v>0.65191500000000002</v>
      </c>
      <c r="I166" s="11">
        <v>0.53688599999999997</v>
      </c>
      <c r="J166" s="11">
        <v>0</v>
      </c>
      <c r="K166" s="11">
        <v>0</v>
      </c>
      <c r="L166" s="11">
        <v>0</v>
      </c>
      <c r="M166" s="11">
        <v>0.24</v>
      </c>
      <c r="N166" s="11">
        <v>1.2500099999999998</v>
      </c>
      <c r="O166" s="11">
        <v>0</v>
      </c>
      <c r="P166" s="11">
        <v>5.1851799999999999</v>
      </c>
      <c r="Q166" s="11">
        <v>0</v>
      </c>
      <c r="R166" s="11">
        <v>0.83055299999999999</v>
      </c>
    </row>
    <row r="167" spans="1:18" x14ac:dyDescent="0.25">
      <c r="A167" s="37">
        <v>2022</v>
      </c>
      <c r="B167">
        <v>51458</v>
      </c>
      <c r="C167" s="11">
        <v>50.556402999999996</v>
      </c>
      <c r="D167" s="11">
        <v>2.64</v>
      </c>
      <c r="E167" s="11">
        <v>0</v>
      </c>
      <c r="F167" s="11">
        <v>0</v>
      </c>
      <c r="G167" s="11">
        <v>0</v>
      </c>
      <c r="H167" s="11">
        <v>0</v>
      </c>
      <c r="I167" s="11">
        <v>7.2979629999999993</v>
      </c>
      <c r="J167" s="11">
        <v>0.14000000000000001</v>
      </c>
      <c r="K167" s="11">
        <v>0.41452699999999998</v>
      </c>
      <c r="L167" s="11">
        <v>0</v>
      </c>
      <c r="M167" s="11">
        <v>0</v>
      </c>
      <c r="N167" s="11">
        <v>24.824572999999997</v>
      </c>
      <c r="O167" s="11">
        <v>0.5</v>
      </c>
      <c r="P167" s="11">
        <v>4.6111079999999998</v>
      </c>
      <c r="Q167" s="11">
        <v>0.51077299999999992</v>
      </c>
      <c r="R167" s="11">
        <v>0</v>
      </c>
    </row>
    <row r="168" spans="1:18" x14ac:dyDescent="0.25">
      <c r="A168" s="37">
        <v>2022</v>
      </c>
      <c r="B168">
        <v>51458</v>
      </c>
      <c r="C168" s="11">
        <v>102.67502899999999</v>
      </c>
      <c r="D168" s="11">
        <v>17.394401999999999</v>
      </c>
      <c r="E168" s="11">
        <v>0</v>
      </c>
      <c r="F168" s="11">
        <v>0</v>
      </c>
      <c r="G168" s="11">
        <v>0</v>
      </c>
      <c r="H168" s="11">
        <v>0</v>
      </c>
      <c r="I168" s="11">
        <v>12.94083</v>
      </c>
      <c r="J168" s="11">
        <v>1</v>
      </c>
      <c r="K168" s="11">
        <v>0</v>
      </c>
      <c r="L168" s="11">
        <v>0</v>
      </c>
      <c r="M168" s="11">
        <v>0.5</v>
      </c>
      <c r="N168" s="11">
        <v>49.959924000000001</v>
      </c>
      <c r="O168" s="11">
        <v>28.871516999999997</v>
      </c>
      <c r="P168" s="11">
        <v>7.0443199999999999</v>
      </c>
      <c r="Q168" s="11">
        <v>7.9999879999999992</v>
      </c>
      <c r="R168" s="11">
        <v>0</v>
      </c>
    </row>
    <row r="169" spans="1:18" x14ac:dyDescent="0.25">
      <c r="A169" s="37">
        <v>2022</v>
      </c>
      <c r="B169">
        <v>51458</v>
      </c>
      <c r="C169" s="11">
        <v>233.72288</v>
      </c>
      <c r="D169" s="11">
        <v>43.804471999999997</v>
      </c>
      <c r="E169" s="11">
        <v>0</v>
      </c>
      <c r="F169" s="11">
        <v>0.5</v>
      </c>
      <c r="G169" s="11">
        <v>0</v>
      </c>
      <c r="H169" s="11">
        <v>1.4544629999999998</v>
      </c>
      <c r="I169" s="11">
        <v>36.903459999999995</v>
      </c>
      <c r="J169" s="11">
        <v>2.460674</v>
      </c>
      <c r="K169" s="11">
        <v>0</v>
      </c>
      <c r="L169" s="11">
        <v>0.5</v>
      </c>
      <c r="M169" s="11">
        <v>2.3130919999999997</v>
      </c>
      <c r="N169" s="11">
        <v>122.69310300000001</v>
      </c>
      <c r="O169" s="11">
        <v>74.766060999999993</v>
      </c>
      <c r="P169" s="11">
        <v>0.94780699999999996</v>
      </c>
      <c r="Q169" s="11">
        <v>46.519402999999997</v>
      </c>
      <c r="R169" s="11">
        <v>0</v>
      </c>
    </row>
    <row r="170" spans="1:18" x14ac:dyDescent="0.25">
      <c r="A170" s="37">
        <v>2022</v>
      </c>
      <c r="B170">
        <v>51458</v>
      </c>
      <c r="C170" s="11">
        <v>253.40059300000001</v>
      </c>
      <c r="D170" s="11">
        <v>70.085741999999996</v>
      </c>
      <c r="E170" s="11">
        <v>0</v>
      </c>
      <c r="F170" s="11">
        <v>0.5</v>
      </c>
      <c r="G170" s="11">
        <v>0</v>
      </c>
      <c r="H170" s="11">
        <v>0.5</v>
      </c>
      <c r="I170" s="11">
        <v>27.625532999999997</v>
      </c>
      <c r="J170" s="11">
        <v>0.57750000000000001</v>
      </c>
      <c r="K170" s="11">
        <v>0</v>
      </c>
      <c r="L170" s="11">
        <v>1</v>
      </c>
      <c r="M170" s="11">
        <v>8.6119779999999988</v>
      </c>
      <c r="N170" s="11">
        <v>116.764594</v>
      </c>
      <c r="O170" s="11">
        <v>54.601751999999998</v>
      </c>
      <c r="P170" s="11">
        <v>4.9140220000000001</v>
      </c>
      <c r="Q170" s="11">
        <v>39.741990999999999</v>
      </c>
      <c r="R170" s="11">
        <v>0</v>
      </c>
    </row>
    <row r="171" spans="1:18" x14ac:dyDescent="0.25">
      <c r="A171" s="37">
        <v>2022</v>
      </c>
      <c r="B171">
        <v>51474</v>
      </c>
      <c r="C171" s="11">
        <v>0.24553599999999998</v>
      </c>
      <c r="D171" s="11">
        <v>0</v>
      </c>
      <c r="E171" s="11">
        <v>0</v>
      </c>
      <c r="F171" s="11">
        <v>0</v>
      </c>
      <c r="G171" s="11">
        <v>0</v>
      </c>
      <c r="H171" s="11">
        <v>0</v>
      </c>
      <c r="I171" s="11">
        <v>0</v>
      </c>
      <c r="J171" s="11">
        <v>0</v>
      </c>
      <c r="K171" s="11">
        <v>0</v>
      </c>
      <c r="L171" s="11">
        <v>0</v>
      </c>
      <c r="M171" s="11">
        <v>0</v>
      </c>
      <c r="N171" s="11">
        <v>0</v>
      </c>
      <c r="O171" s="11">
        <v>0</v>
      </c>
      <c r="P171" s="11">
        <v>0</v>
      </c>
      <c r="Q171" s="11">
        <v>0</v>
      </c>
      <c r="R171" s="11">
        <v>0</v>
      </c>
    </row>
    <row r="172" spans="1:18" x14ac:dyDescent="0.25">
      <c r="A172" s="37">
        <v>2022</v>
      </c>
      <c r="B172">
        <v>51474</v>
      </c>
      <c r="C172" s="11">
        <v>90.324456999999995</v>
      </c>
      <c r="D172" s="11">
        <v>6.3635999999999999</v>
      </c>
      <c r="E172" s="11">
        <v>0</v>
      </c>
      <c r="F172" s="11">
        <v>0</v>
      </c>
      <c r="G172" s="11">
        <v>0</v>
      </c>
      <c r="H172" s="11">
        <v>0.54344700000000001</v>
      </c>
      <c r="I172" s="11">
        <v>5.5179580000000001</v>
      </c>
      <c r="J172" s="11">
        <v>0.203212</v>
      </c>
      <c r="K172" s="11">
        <v>0</v>
      </c>
      <c r="L172" s="11">
        <v>0</v>
      </c>
      <c r="M172" s="11">
        <v>0.56925300000000001</v>
      </c>
      <c r="N172" s="11">
        <v>30.604127999999999</v>
      </c>
      <c r="O172" s="11">
        <v>0</v>
      </c>
      <c r="P172" s="11">
        <v>0</v>
      </c>
      <c r="Q172" s="11">
        <v>0</v>
      </c>
      <c r="R172" s="11">
        <v>0</v>
      </c>
    </row>
    <row r="173" spans="1:18" x14ac:dyDescent="0.25">
      <c r="A173" s="37">
        <v>2022</v>
      </c>
      <c r="B173">
        <v>51474</v>
      </c>
      <c r="C173" s="11">
        <v>67.896920999999992</v>
      </c>
      <c r="D173" s="11">
        <v>4.2725910000000002</v>
      </c>
      <c r="E173" s="11">
        <v>0</v>
      </c>
      <c r="F173" s="11">
        <v>0</v>
      </c>
      <c r="G173" s="11">
        <v>0</v>
      </c>
      <c r="H173" s="11">
        <v>0.3</v>
      </c>
      <c r="I173" s="11">
        <v>4.371238</v>
      </c>
      <c r="J173" s="11">
        <v>0</v>
      </c>
      <c r="K173" s="11">
        <v>0</v>
      </c>
      <c r="L173" s="11">
        <v>0</v>
      </c>
      <c r="M173" s="11">
        <v>0.46074699999999996</v>
      </c>
      <c r="N173" s="11">
        <v>23.60454</v>
      </c>
      <c r="O173" s="11">
        <v>0</v>
      </c>
      <c r="P173" s="11">
        <v>0</v>
      </c>
      <c r="Q173" s="11">
        <v>0</v>
      </c>
      <c r="R173" s="11">
        <v>0</v>
      </c>
    </row>
    <row r="174" spans="1:18" x14ac:dyDescent="0.25">
      <c r="A174" s="37">
        <v>2022</v>
      </c>
      <c r="B174">
        <v>51474</v>
      </c>
      <c r="C174" s="11">
        <v>94.264692999999994</v>
      </c>
      <c r="D174" s="11">
        <v>5.9080019999999998</v>
      </c>
      <c r="E174" s="11">
        <v>0</v>
      </c>
      <c r="F174" s="11">
        <v>0</v>
      </c>
      <c r="G174" s="11">
        <v>0</v>
      </c>
      <c r="H174" s="11">
        <v>0.61485899999999993</v>
      </c>
      <c r="I174" s="11">
        <v>5.8968289999999994</v>
      </c>
      <c r="J174" s="11">
        <v>0.124902</v>
      </c>
      <c r="K174" s="11">
        <v>0</v>
      </c>
      <c r="L174" s="11">
        <v>0</v>
      </c>
      <c r="M174" s="11">
        <v>0.14000000000000001</v>
      </c>
      <c r="N174" s="11">
        <v>44.172426000000002</v>
      </c>
      <c r="O174" s="11">
        <v>6.514456</v>
      </c>
      <c r="P174" s="11">
        <v>0</v>
      </c>
      <c r="Q174" s="11">
        <v>0</v>
      </c>
      <c r="R174" s="11">
        <v>3.970564</v>
      </c>
    </row>
    <row r="175" spans="1:18" x14ac:dyDescent="0.25">
      <c r="A175" s="37">
        <v>2022</v>
      </c>
      <c r="B175">
        <v>51474</v>
      </c>
      <c r="C175" s="11">
        <v>71.358317</v>
      </c>
      <c r="D175" s="11">
        <v>3.2550789999999998</v>
      </c>
      <c r="E175" s="11">
        <v>0</v>
      </c>
      <c r="F175" s="11">
        <v>0</v>
      </c>
      <c r="G175" s="11">
        <v>0</v>
      </c>
      <c r="H175" s="11">
        <v>0</v>
      </c>
      <c r="I175" s="11">
        <v>4.1716280000000001</v>
      </c>
      <c r="J175" s="11">
        <v>0.28000000000000003</v>
      </c>
      <c r="K175" s="11">
        <v>0</v>
      </c>
      <c r="L175" s="11">
        <v>0</v>
      </c>
      <c r="M175" s="11">
        <v>0.97936299999999998</v>
      </c>
      <c r="N175" s="11">
        <v>35.118159999999996</v>
      </c>
      <c r="O175" s="11">
        <v>7.0921519999999996</v>
      </c>
      <c r="P175" s="11">
        <v>0</v>
      </c>
      <c r="Q175" s="11">
        <v>0</v>
      </c>
      <c r="R175" s="11">
        <v>1.63456</v>
      </c>
    </row>
    <row r="176" spans="1:18" x14ac:dyDescent="0.25">
      <c r="A176" s="37">
        <v>2022</v>
      </c>
      <c r="B176">
        <v>51474</v>
      </c>
      <c r="C176" s="11">
        <v>378.65954199999999</v>
      </c>
      <c r="D176" s="11">
        <v>14.870801999999999</v>
      </c>
      <c r="E176" s="11">
        <v>0</v>
      </c>
      <c r="F176" s="11">
        <v>0</v>
      </c>
      <c r="G176" s="11">
        <v>0</v>
      </c>
      <c r="H176" s="11">
        <v>0</v>
      </c>
      <c r="I176" s="11">
        <v>58.06503</v>
      </c>
      <c r="J176" s="11">
        <v>5.5</v>
      </c>
      <c r="K176" s="11">
        <v>0.97014999999999996</v>
      </c>
      <c r="L176" s="11">
        <v>0</v>
      </c>
      <c r="M176" s="11">
        <v>3.8209389999999996</v>
      </c>
      <c r="N176" s="11">
        <v>132.73544100000001</v>
      </c>
      <c r="O176" s="11">
        <v>48.903444</v>
      </c>
      <c r="P176" s="11">
        <v>0</v>
      </c>
      <c r="Q176" s="11">
        <v>127.34611100000001</v>
      </c>
      <c r="R176" s="11">
        <v>5.6297949999999997</v>
      </c>
    </row>
    <row r="177" spans="1:18" x14ac:dyDescent="0.25">
      <c r="A177" s="37">
        <v>2022</v>
      </c>
      <c r="B177">
        <v>51474</v>
      </c>
      <c r="C177" s="11">
        <v>430.67281800000001</v>
      </c>
      <c r="D177" s="11">
        <v>32.23845</v>
      </c>
      <c r="E177" s="11">
        <v>0</v>
      </c>
      <c r="F177" s="11">
        <v>5.004677</v>
      </c>
      <c r="G177" s="11">
        <v>0</v>
      </c>
      <c r="H177" s="11">
        <v>0</v>
      </c>
      <c r="I177" s="11">
        <v>71.533475999999993</v>
      </c>
      <c r="J177" s="11">
        <v>2</v>
      </c>
      <c r="K177" s="11">
        <v>1.7960199999999999</v>
      </c>
      <c r="L177" s="11">
        <v>2.42</v>
      </c>
      <c r="M177" s="11">
        <v>19.209875999999998</v>
      </c>
      <c r="N177" s="11">
        <v>149.06400199999999</v>
      </c>
      <c r="O177" s="11">
        <v>53.544765999999996</v>
      </c>
      <c r="P177" s="11">
        <v>0</v>
      </c>
      <c r="Q177" s="11">
        <v>118.443591</v>
      </c>
      <c r="R177" s="11">
        <v>5.6319619999999997</v>
      </c>
    </row>
    <row r="178" spans="1:18" x14ac:dyDescent="0.25">
      <c r="A178" s="37">
        <v>2022</v>
      </c>
      <c r="B178">
        <v>51490</v>
      </c>
      <c r="C178" s="11">
        <v>3.8056459999999999</v>
      </c>
      <c r="D178" s="11">
        <v>0</v>
      </c>
      <c r="E178" s="11">
        <v>0</v>
      </c>
      <c r="F178" s="11">
        <v>0</v>
      </c>
      <c r="G178" s="11">
        <v>0</v>
      </c>
      <c r="H178" s="11">
        <v>0.11</v>
      </c>
      <c r="I178" s="11">
        <v>0.57686499999999996</v>
      </c>
      <c r="J178" s="11">
        <v>0.10754799999999999</v>
      </c>
      <c r="K178" s="11">
        <v>0</v>
      </c>
      <c r="L178" s="11">
        <v>0</v>
      </c>
      <c r="M178" s="11">
        <v>0</v>
      </c>
      <c r="N178" s="11">
        <v>0</v>
      </c>
      <c r="O178" s="11">
        <v>0</v>
      </c>
      <c r="P178" s="11">
        <v>0</v>
      </c>
      <c r="Q178" s="11">
        <v>0</v>
      </c>
      <c r="R178" s="11">
        <v>0</v>
      </c>
    </row>
    <row r="179" spans="1:18" x14ac:dyDescent="0.25">
      <c r="A179" s="37">
        <v>2022</v>
      </c>
      <c r="B179">
        <v>51490</v>
      </c>
      <c r="C179" s="11">
        <v>22.891714999999998</v>
      </c>
      <c r="D179" s="11">
        <v>0</v>
      </c>
      <c r="E179" s="11">
        <v>0</v>
      </c>
      <c r="F179" s="11">
        <v>0</v>
      </c>
      <c r="G179" s="11">
        <v>0</v>
      </c>
      <c r="H179" s="11">
        <v>0.41860000000000003</v>
      </c>
      <c r="I179" s="11">
        <v>2.645248</v>
      </c>
      <c r="J179" s="11">
        <v>2.3452000000000001E-2</v>
      </c>
      <c r="K179" s="11">
        <v>0</v>
      </c>
      <c r="L179" s="11">
        <v>0.226548</v>
      </c>
      <c r="M179" s="11">
        <v>2.3452000000000001E-2</v>
      </c>
      <c r="N179" s="11">
        <v>10.100489999999999</v>
      </c>
      <c r="O179" s="11">
        <v>0</v>
      </c>
      <c r="P179" s="11">
        <v>0</v>
      </c>
      <c r="Q179" s="11">
        <v>1.6</v>
      </c>
      <c r="R179" s="11">
        <v>0</v>
      </c>
    </row>
    <row r="180" spans="1:18" x14ac:dyDescent="0.25">
      <c r="A180" s="37">
        <v>2022</v>
      </c>
      <c r="B180">
        <v>51490</v>
      </c>
      <c r="C180" s="11">
        <v>20.349914999999999</v>
      </c>
      <c r="D180" s="11">
        <v>0</v>
      </c>
      <c r="E180" s="11">
        <v>0</v>
      </c>
      <c r="F180" s="11">
        <v>0</v>
      </c>
      <c r="G180" s="11">
        <v>0</v>
      </c>
      <c r="H180" s="11">
        <v>0.14674299999999998</v>
      </c>
      <c r="I180" s="11">
        <v>2.8123579999999997</v>
      </c>
      <c r="J180" s="11">
        <v>-0.12071399999999999</v>
      </c>
      <c r="K180" s="11">
        <v>0</v>
      </c>
      <c r="L180" s="11">
        <v>0</v>
      </c>
      <c r="M180" s="11">
        <v>0.32</v>
      </c>
      <c r="N180" s="11">
        <v>10.823822</v>
      </c>
      <c r="O180" s="11">
        <v>0</v>
      </c>
      <c r="P180" s="11">
        <v>0</v>
      </c>
      <c r="Q180" s="11">
        <v>0</v>
      </c>
      <c r="R180" s="11">
        <v>0</v>
      </c>
    </row>
    <row r="181" spans="1:18" x14ac:dyDescent="0.25">
      <c r="A181" s="37">
        <v>2022</v>
      </c>
      <c r="B181">
        <v>51490</v>
      </c>
      <c r="C181" s="11">
        <v>23.570406999999999</v>
      </c>
      <c r="D181" s="11">
        <v>0</v>
      </c>
      <c r="E181" s="11">
        <v>0</v>
      </c>
      <c r="F181" s="11">
        <v>0</v>
      </c>
      <c r="G181" s="11">
        <v>0</v>
      </c>
      <c r="H181" s="11">
        <v>0</v>
      </c>
      <c r="I181" s="11">
        <v>3.301695</v>
      </c>
      <c r="J181" s="11">
        <v>0.41000000000000003</v>
      </c>
      <c r="K181" s="11">
        <v>0</v>
      </c>
      <c r="L181" s="11">
        <v>0.126697</v>
      </c>
      <c r="M181" s="11">
        <v>0.14000000000000001</v>
      </c>
      <c r="N181" s="11">
        <v>17.275697000000001</v>
      </c>
      <c r="O181" s="11">
        <v>0</v>
      </c>
      <c r="P181" s="11">
        <v>0</v>
      </c>
      <c r="Q181" s="11">
        <v>0</v>
      </c>
      <c r="R181" s="11">
        <v>0</v>
      </c>
    </row>
    <row r="182" spans="1:18" x14ac:dyDescent="0.25">
      <c r="A182" s="37">
        <v>2022</v>
      </c>
      <c r="B182">
        <v>51490</v>
      </c>
      <c r="C182" s="11">
        <v>29.475505999999999</v>
      </c>
      <c r="D182" s="11">
        <v>0</v>
      </c>
      <c r="E182" s="11">
        <v>0</v>
      </c>
      <c r="F182" s="11">
        <v>0</v>
      </c>
      <c r="G182" s="11">
        <v>0</v>
      </c>
      <c r="H182" s="11">
        <v>0.58576600000000001</v>
      </c>
      <c r="I182" s="11">
        <v>2.2958240000000001</v>
      </c>
      <c r="J182" s="11">
        <v>0.13</v>
      </c>
      <c r="K182" s="11">
        <v>0</v>
      </c>
      <c r="L182" s="11">
        <v>0.25333299999999997</v>
      </c>
      <c r="M182" s="11">
        <v>0.13</v>
      </c>
      <c r="N182" s="11">
        <v>22.822492999999998</v>
      </c>
      <c r="O182" s="11">
        <v>0</v>
      </c>
      <c r="P182" s="11">
        <v>0</v>
      </c>
      <c r="Q182" s="11">
        <v>0</v>
      </c>
      <c r="R182" s="11">
        <v>0</v>
      </c>
    </row>
    <row r="183" spans="1:18" x14ac:dyDescent="0.25">
      <c r="A183" s="37">
        <v>2022</v>
      </c>
      <c r="B183">
        <v>51490</v>
      </c>
      <c r="C183" s="11">
        <v>278.47480000000002</v>
      </c>
      <c r="D183" s="11">
        <v>262.12804599999998</v>
      </c>
      <c r="E183" s="11">
        <v>0</v>
      </c>
      <c r="F183" s="11">
        <v>0</v>
      </c>
      <c r="G183" s="11">
        <v>0</v>
      </c>
      <c r="H183" s="11">
        <v>0</v>
      </c>
      <c r="I183" s="11">
        <v>63.371573999999995</v>
      </c>
      <c r="J183" s="11">
        <v>0</v>
      </c>
      <c r="K183" s="11">
        <v>0.28000000000000003</v>
      </c>
      <c r="L183" s="11">
        <v>1.0406089999999999</v>
      </c>
      <c r="M183" s="11">
        <v>2.5464469999999997</v>
      </c>
      <c r="N183" s="11">
        <v>49.128909999999998</v>
      </c>
      <c r="O183" s="11">
        <v>19.596147999999999</v>
      </c>
      <c r="P183" s="11">
        <v>0</v>
      </c>
      <c r="Q183" s="11">
        <v>0.92385600000000001</v>
      </c>
      <c r="R183" s="11">
        <v>0</v>
      </c>
    </row>
    <row r="184" spans="1:18" x14ac:dyDescent="0.25">
      <c r="A184" s="37">
        <v>2022</v>
      </c>
      <c r="B184">
        <v>51490</v>
      </c>
      <c r="C184" s="11">
        <v>206.084756</v>
      </c>
      <c r="D184" s="11">
        <v>195.59502499999999</v>
      </c>
      <c r="E184" s="11">
        <v>0</v>
      </c>
      <c r="F184" s="11">
        <v>0</v>
      </c>
      <c r="G184" s="11">
        <v>0</v>
      </c>
      <c r="H184" s="11">
        <v>0</v>
      </c>
      <c r="I184" s="11">
        <v>49.187630999999996</v>
      </c>
      <c r="J184" s="11">
        <v>1.125375</v>
      </c>
      <c r="K184" s="11">
        <v>0</v>
      </c>
      <c r="L184" s="11">
        <v>3.2773569999999999</v>
      </c>
      <c r="M184" s="11">
        <v>4.1399999999999997</v>
      </c>
      <c r="N184" s="11">
        <v>33.056632999999998</v>
      </c>
      <c r="O184" s="11">
        <v>13.803707999999999</v>
      </c>
      <c r="P184" s="11">
        <v>0</v>
      </c>
      <c r="Q184" s="11">
        <v>3.1111079999999998</v>
      </c>
      <c r="R184" s="11">
        <v>0</v>
      </c>
    </row>
    <row r="185" spans="1:18" x14ac:dyDescent="0.25">
      <c r="A185" s="37">
        <v>2022</v>
      </c>
      <c r="B185">
        <v>51532</v>
      </c>
      <c r="C185" s="11">
        <v>6.189165</v>
      </c>
      <c r="D185" s="11">
        <v>0</v>
      </c>
      <c r="E185" s="11">
        <v>0</v>
      </c>
      <c r="F185" s="11">
        <v>0</v>
      </c>
      <c r="G185" s="11">
        <v>0</v>
      </c>
      <c r="H185" s="11">
        <v>0</v>
      </c>
      <c r="I185" s="11">
        <v>0.14666599999999999</v>
      </c>
      <c r="J185" s="11">
        <v>0</v>
      </c>
      <c r="K185" s="11">
        <v>0</v>
      </c>
      <c r="L185" s="11">
        <v>0</v>
      </c>
      <c r="M185" s="11">
        <v>0.14000000000000001</v>
      </c>
      <c r="N185" s="11">
        <v>0</v>
      </c>
      <c r="O185" s="11">
        <v>0</v>
      </c>
      <c r="P185" s="11">
        <v>0</v>
      </c>
      <c r="Q185" s="11">
        <v>0</v>
      </c>
      <c r="R185" s="11">
        <v>0</v>
      </c>
    </row>
    <row r="186" spans="1:18" x14ac:dyDescent="0.25">
      <c r="A186" s="37">
        <v>2022</v>
      </c>
      <c r="B186">
        <v>51532</v>
      </c>
      <c r="C186" s="11">
        <v>5.6033330000000001</v>
      </c>
      <c r="D186" s="11">
        <v>0</v>
      </c>
      <c r="E186" s="11">
        <v>0</v>
      </c>
      <c r="F186" s="11">
        <v>0</v>
      </c>
      <c r="G186" s="11">
        <v>0</v>
      </c>
      <c r="H186" s="11">
        <v>0</v>
      </c>
      <c r="I186" s="11">
        <v>0.58416699999999999</v>
      </c>
      <c r="J186" s="11">
        <v>2.9166999999999998E-2</v>
      </c>
      <c r="K186" s="11">
        <v>0</v>
      </c>
      <c r="L186" s="11">
        <v>0</v>
      </c>
      <c r="M186" s="11">
        <v>0</v>
      </c>
      <c r="N186" s="11">
        <v>0</v>
      </c>
      <c r="O186" s="11">
        <v>0</v>
      </c>
      <c r="P186" s="11">
        <v>0</v>
      </c>
      <c r="Q186" s="11">
        <v>0</v>
      </c>
      <c r="R186" s="11">
        <v>0</v>
      </c>
    </row>
    <row r="187" spans="1:18" x14ac:dyDescent="0.25">
      <c r="A187" s="37">
        <v>2022</v>
      </c>
      <c r="B187">
        <v>51532</v>
      </c>
      <c r="C187" s="11">
        <v>33.405920999999999</v>
      </c>
      <c r="D187" s="11">
        <v>6.1884920000000001</v>
      </c>
      <c r="E187" s="11">
        <v>0</v>
      </c>
      <c r="F187" s="11">
        <v>0</v>
      </c>
      <c r="G187" s="11">
        <v>0</v>
      </c>
      <c r="H187" s="11">
        <v>0</v>
      </c>
      <c r="I187" s="11">
        <v>5.77095</v>
      </c>
      <c r="J187" s="11">
        <v>0</v>
      </c>
      <c r="K187" s="11">
        <v>0</v>
      </c>
      <c r="L187" s="11">
        <v>0</v>
      </c>
      <c r="M187" s="11">
        <v>0</v>
      </c>
      <c r="N187" s="11">
        <v>0</v>
      </c>
      <c r="O187" s="11">
        <v>0</v>
      </c>
      <c r="P187" s="11">
        <v>2.2919989999999997</v>
      </c>
      <c r="Q187" s="11">
        <v>7.6336699999999995</v>
      </c>
      <c r="R187" s="11">
        <v>0</v>
      </c>
    </row>
    <row r="188" spans="1:18" x14ac:dyDescent="0.25">
      <c r="A188" s="37">
        <v>2022</v>
      </c>
      <c r="B188">
        <v>51532</v>
      </c>
      <c r="C188" s="11">
        <v>305.73918500000002</v>
      </c>
      <c r="D188" s="11">
        <v>52.714931999999997</v>
      </c>
      <c r="E188" s="11">
        <v>0</v>
      </c>
      <c r="F188" s="11">
        <v>6.0949719999999994</v>
      </c>
      <c r="G188" s="11">
        <v>0</v>
      </c>
      <c r="H188" s="11">
        <v>0</v>
      </c>
      <c r="I188" s="11">
        <v>45.004917999999996</v>
      </c>
      <c r="J188" s="11">
        <v>1</v>
      </c>
      <c r="K188" s="11">
        <v>0.5</v>
      </c>
      <c r="L188" s="11">
        <v>2.0726260000000001</v>
      </c>
      <c r="M188" s="11">
        <v>3.2737430000000001</v>
      </c>
      <c r="N188" s="11">
        <v>84.643565999999993</v>
      </c>
      <c r="O188" s="11">
        <v>43.732220999999996</v>
      </c>
      <c r="P188" s="11">
        <v>0.55555599999999994</v>
      </c>
      <c r="Q188" s="11">
        <v>115.113956</v>
      </c>
      <c r="R188" s="11">
        <v>0</v>
      </c>
    </row>
    <row r="189" spans="1:18" x14ac:dyDescent="0.25">
      <c r="A189" s="37">
        <v>2022</v>
      </c>
      <c r="B189">
        <v>51532</v>
      </c>
      <c r="C189" s="11">
        <v>307.650667</v>
      </c>
      <c r="D189" s="11">
        <v>109.890154</v>
      </c>
      <c r="E189" s="11">
        <v>0</v>
      </c>
      <c r="F189" s="11">
        <v>11</v>
      </c>
      <c r="G189" s="11">
        <v>0</v>
      </c>
      <c r="H189" s="11">
        <v>1</v>
      </c>
      <c r="I189" s="11">
        <v>63.205435999999999</v>
      </c>
      <c r="J189" s="11">
        <v>0.8</v>
      </c>
      <c r="K189" s="11">
        <v>2</v>
      </c>
      <c r="L189" s="11">
        <v>6.1195529999999998</v>
      </c>
      <c r="M189" s="11">
        <v>1.5</v>
      </c>
      <c r="N189" s="11">
        <v>86.156182999999999</v>
      </c>
      <c r="O189" s="11">
        <v>45.705672</v>
      </c>
      <c r="P189" s="11">
        <v>1.2500009999999999</v>
      </c>
      <c r="Q189" s="11">
        <v>97.782387</v>
      </c>
      <c r="R189" s="11">
        <v>0</v>
      </c>
    </row>
    <row r="190" spans="1:18" x14ac:dyDescent="0.25">
      <c r="A190" s="37">
        <v>2022</v>
      </c>
      <c r="B190">
        <v>51532</v>
      </c>
      <c r="C190" s="11">
        <v>7.295833</v>
      </c>
      <c r="D190" s="11">
        <v>0</v>
      </c>
      <c r="E190" s="11">
        <v>0</v>
      </c>
      <c r="F190" s="11">
        <v>0</v>
      </c>
      <c r="G190" s="11">
        <v>0</v>
      </c>
      <c r="H190" s="11">
        <v>0</v>
      </c>
      <c r="I190" s="11">
        <v>0.42</v>
      </c>
      <c r="J190" s="11">
        <v>0</v>
      </c>
      <c r="K190" s="11">
        <v>0</v>
      </c>
      <c r="L190" s="11">
        <v>0</v>
      </c>
      <c r="M190" s="11">
        <v>0</v>
      </c>
      <c r="N190" s="11">
        <v>0</v>
      </c>
      <c r="O190" s="11">
        <v>0</v>
      </c>
      <c r="P190" s="11">
        <v>0</v>
      </c>
      <c r="Q190" s="11">
        <v>0</v>
      </c>
      <c r="R190" s="11">
        <v>0</v>
      </c>
    </row>
    <row r="191" spans="1:18" x14ac:dyDescent="0.25">
      <c r="A191" s="37">
        <v>2022</v>
      </c>
      <c r="B191">
        <v>51607</v>
      </c>
      <c r="C191" s="11">
        <v>282.53573799999998</v>
      </c>
      <c r="D191" s="11">
        <v>282.53573799999998</v>
      </c>
      <c r="E191" s="11">
        <v>0</v>
      </c>
      <c r="F191" s="11">
        <v>0</v>
      </c>
      <c r="G191" s="11">
        <v>0</v>
      </c>
      <c r="H191" s="11">
        <v>0</v>
      </c>
      <c r="I191" s="11">
        <v>62.495055999999998</v>
      </c>
      <c r="J191" s="11">
        <v>1.4044939999999999</v>
      </c>
      <c r="K191" s="11">
        <v>0</v>
      </c>
      <c r="L191" s="11">
        <v>2</v>
      </c>
      <c r="M191" s="11">
        <v>2.408989</v>
      </c>
      <c r="N191" s="11">
        <v>66.436036000000001</v>
      </c>
      <c r="O191" s="11">
        <v>50.250951999999998</v>
      </c>
      <c r="P191" s="11">
        <v>0</v>
      </c>
      <c r="Q191" s="11">
        <v>145.28233499999999</v>
      </c>
      <c r="R191" s="11">
        <v>0</v>
      </c>
    </row>
    <row r="192" spans="1:18" x14ac:dyDescent="0.25">
      <c r="A192" s="37">
        <v>2022</v>
      </c>
      <c r="B192">
        <v>51607</v>
      </c>
      <c r="C192" s="11">
        <v>241.22928300000001</v>
      </c>
      <c r="D192" s="11">
        <v>241.22928300000001</v>
      </c>
      <c r="E192" s="11">
        <v>0</v>
      </c>
      <c r="F192" s="11">
        <v>0</v>
      </c>
      <c r="G192" s="11">
        <v>0</v>
      </c>
      <c r="H192" s="11">
        <v>0</v>
      </c>
      <c r="I192" s="11">
        <v>39.268571999999999</v>
      </c>
      <c r="J192" s="11">
        <v>3.44</v>
      </c>
      <c r="K192" s="11">
        <v>0</v>
      </c>
      <c r="L192" s="11">
        <v>4</v>
      </c>
      <c r="M192" s="11">
        <v>4.7235000000000005</v>
      </c>
      <c r="N192" s="11">
        <v>89.26500999999999</v>
      </c>
      <c r="O192" s="11">
        <v>51.730515999999994</v>
      </c>
      <c r="P192" s="11">
        <v>0</v>
      </c>
      <c r="Q192" s="11">
        <v>66.323674999999994</v>
      </c>
      <c r="R192" s="11">
        <v>0</v>
      </c>
    </row>
    <row r="193" spans="1:18" x14ac:dyDescent="0.25">
      <c r="A193" s="37">
        <v>2022</v>
      </c>
      <c r="B193">
        <v>51631</v>
      </c>
      <c r="C193" s="11">
        <v>1.0884479999999999</v>
      </c>
      <c r="D193" s="11">
        <v>0</v>
      </c>
      <c r="E193" s="11">
        <v>0</v>
      </c>
      <c r="F193" s="11">
        <v>0</v>
      </c>
      <c r="G193" s="11">
        <v>0</v>
      </c>
      <c r="H193" s="11">
        <v>0</v>
      </c>
      <c r="I193" s="11">
        <v>0</v>
      </c>
      <c r="J193" s="11">
        <v>0</v>
      </c>
      <c r="K193" s="11">
        <v>0</v>
      </c>
      <c r="L193" s="11">
        <v>0</v>
      </c>
      <c r="M193" s="11">
        <v>0</v>
      </c>
      <c r="N193" s="11">
        <v>0</v>
      </c>
      <c r="O193" s="11">
        <v>0.44444799999999995</v>
      </c>
      <c r="P193" s="11">
        <v>0</v>
      </c>
      <c r="Q193" s="11">
        <v>0.44444799999999995</v>
      </c>
      <c r="R193" s="11">
        <v>0</v>
      </c>
    </row>
    <row r="194" spans="1:18" x14ac:dyDescent="0.25">
      <c r="A194" s="37">
        <v>2022</v>
      </c>
      <c r="B194">
        <v>51631</v>
      </c>
      <c r="C194" s="11">
        <v>0.13605599999999998</v>
      </c>
      <c r="D194" s="11">
        <v>0</v>
      </c>
      <c r="E194" s="11">
        <v>0</v>
      </c>
      <c r="F194" s="11">
        <v>0</v>
      </c>
      <c r="G194" s="11">
        <v>0</v>
      </c>
      <c r="H194" s="11">
        <v>0</v>
      </c>
      <c r="I194" s="11">
        <v>0</v>
      </c>
      <c r="J194" s="11">
        <v>0</v>
      </c>
      <c r="K194" s="11">
        <v>0</v>
      </c>
      <c r="L194" s="11">
        <v>0</v>
      </c>
      <c r="M194" s="11">
        <v>0</v>
      </c>
      <c r="N194" s="11">
        <v>0</v>
      </c>
      <c r="O194" s="11">
        <v>5.5555999999999994E-2</v>
      </c>
      <c r="P194" s="11">
        <v>0</v>
      </c>
      <c r="Q194" s="11">
        <v>0</v>
      </c>
      <c r="R194" s="11">
        <v>0</v>
      </c>
    </row>
    <row r="195" spans="1:18" x14ac:dyDescent="0.25">
      <c r="A195" s="37">
        <v>2022</v>
      </c>
      <c r="B195">
        <v>51631</v>
      </c>
      <c r="C195" s="11">
        <v>482.95177999999999</v>
      </c>
      <c r="D195" s="11">
        <v>158.32565099999999</v>
      </c>
      <c r="E195" s="11">
        <v>0</v>
      </c>
      <c r="F195" s="11">
        <v>0</v>
      </c>
      <c r="G195" s="11">
        <v>0</v>
      </c>
      <c r="H195" s="11">
        <v>1</v>
      </c>
      <c r="I195" s="11">
        <v>107.71910099999999</v>
      </c>
      <c r="J195" s="11">
        <v>12.362359999999999</v>
      </c>
      <c r="K195" s="11">
        <v>1</v>
      </c>
      <c r="L195" s="11">
        <v>1</v>
      </c>
      <c r="M195" s="11">
        <v>11.679774999999999</v>
      </c>
      <c r="N195" s="11">
        <v>135.72511700000001</v>
      </c>
      <c r="O195" s="11">
        <v>66.871889999999993</v>
      </c>
      <c r="P195" s="11">
        <v>0</v>
      </c>
      <c r="Q195" s="11">
        <v>221.000766</v>
      </c>
      <c r="R195" s="11">
        <v>0</v>
      </c>
    </row>
    <row r="196" spans="1:18" x14ac:dyDescent="0.25">
      <c r="A196" s="37">
        <v>2022</v>
      </c>
      <c r="B196">
        <v>51631</v>
      </c>
      <c r="C196" s="11">
        <v>401.99615899999998</v>
      </c>
      <c r="D196" s="11">
        <v>169.65168599999998</v>
      </c>
      <c r="E196" s="11">
        <v>0</v>
      </c>
      <c r="F196" s="11">
        <v>0</v>
      </c>
      <c r="G196" s="11">
        <v>0</v>
      </c>
      <c r="H196" s="11">
        <v>0</v>
      </c>
      <c r="I196" s="11">
        <v>85.598213999999999</v>
      </c>
      <c r="J196" s="11">
        <v>7.960674</v>
      </c>
      <c r="K196" s="11">
        <v>0</v>
      </c>
      <c r="L196" s="11">
        <v>10</v>
      </c>
      <c r="M196" s="11">
        <v>11.977528</v>
      </c>
      <c r="N196" s="11">
        <v>114.286795</v>
      </c>
      <c r="O196" s="11">
        <v>64.769106999999991</v>
      </c>
      <c r="P196" s="11">
        <v>0</v>
      </c>
      <c r="Q196" s="11">
        <v>168.197035</v>
      </c>
      <c r="R196" s="11">
        <v>0</v>
      </c>
    </row>
    <row r="197" spans="1:18" x14ac:dyDescent="0.25">
      <c r="A197" s="37">
        <v>2022</v>
      </c>
      <c r="B197">
        <v>51656</v>
      </c>
      <c r="C197" s="11">
        <v>21.703070999999998</v>
      </c>
      <c r="D197" s="11">
        <v>0.25146099999999999</v>
      </c>
      <c r="E197" s="11">
        <v>0</v>
      </c>
      <c r="F197" s="11">
        <v>0</v>
      </c>
      <c r="G197" s="11">
        <v>0</v>
      </c>
      <c r="H197" s="11">
        <v>0</v>
      </c>
      <c r="I197" s="11">
        <v>3.04</v>
      </c>
      <c r="J197" s="11">
        <v>0</v>
      </c>
      <c r="K197" s="11">
        <v>0</v>
      </c>
      <c r="L197" s="11">
        <v>0</v>
      </c>
      <c r="M197" s="11">
        <v>0</v>
      </c>
      <c r="N197" s="11">
        <v>8.7855629999999998</v>
      </c>
      <c r="O197" s="11">
        <v>1.105494</v>
      </c>
      <c r="P197" s="11">
        <v>1.5555539999999999</v>
      </c>
      <c r="Q197" s="11">
        <v>0</v>
      </c>
      <c r="R197" s="11">
        <v>1.7660739999999999</v>
      </c>
    </row>
    <row r="198" spans="1:18" x14ac:dyDescent="0.25">
      <c r="A198" s="37">
        <v>2022</v>
      </c>
      <c r="B198">
        <v>51656</v>
      </c>
      <c r="C198" s="11">
        <v>22.867289</v>
      </c>
      <c r="D198" s="11">
        <v>1.654382</v>
      </c>
      <c r="E198" s="11">
        <v>0</v>
      </c>
      <c r="F198" s="11">
        <v>0.5</v>
      </c>
      <c r="G198" s="11">
        <v>0</v>
      </c>
      <c r="H198" s="11">
        <v>0</v>
      </c>
      <c r="I198" s="11">
        <v>6.1475</v>
      </c>
      <c r="J198" s="11">
        <v>0</v>
      </c>
      <c r="K198" s="11">
        <v>0</v>
      </c>
      <c r="L198" s="11">
        <v>0</v>
      </c>
      <c r="M198" s="11">
        <v>0</v>
      </c>
      <c r="N198" s="11">
        <v>9.2454959999999993</v>
      </c>
      <c r="O198" s="11">
        <v>1.1098619999999999</v>
      </c>
      <c r="P198" s="11">
        <v>3.0681379999999998</v>
      </c>
      <c r="Q198" s="11">
        <v>0.11</v>
      </c>
      <c r="R198" s="11">
        <v>1.8868119999999999</v>
      </c>
    </row>
    <row r="199" spans="1:18" x14ac:dyDescent="0.25">
      <c r="A199" s="37">
        <v>2022</v>
      </c>
      <c r="B199">
        <v>51656</v>
      </c>
      <c r="C199" s="11">
        <v>3.4523599999999997</v>
      </c>
      <c r="D199" s="11">
        <v>9.2359999999999998E-2</v>
      </c>
      <c r="E199" s="11">
        <v>0</v>
      </c>
      <c r="F199" s="11">
        <v>0</v>
      </c>
      <c r="G199" s="11">
        <v>0</v>
      </c>
      <c r="H199" s="11">
        <v>0</v>
      </c>
      <c r="I199" s="11">
        <v>0.49235999999999996</v>
      </c>
      <c r="J199" s="11">
        <v>0</v>
      </c>
      <c r="K199" s="11">
        <v>0</v>
      </c>
      <c r="L199" s="11">
        <v>0</v>
      </c>
      <c r="M199" s="11">
        <v>0.23235999999999998</v>
      </c>
      <c r="N199" s="11">
        <v>1.333332</v>
      </c>
      <c r="O199" s="11">
        <v>0</v>
      </c>
      <c r="P199" s="11">
        <v>0</v>
      </c>
      <c r="Q199" s="11">
        <v>1.2203000000000002</v>
      </c>
      <c r="R199" s="11">
        <v>0</v>
      </c>
    </row>
    <row r="200" spans="1:18" x14ac:dyDescent="0.25">
      <c r="A200" s="37">
        <v>2022</v>
      </c>
      <c r="B200">
        <v>51656</v>
      </c>
      <c r="C200" s="11">
        <v>457.62136299999997</v>
      </c>
      <c r="D200" s="11">
        <v>98.826144999999997</v>
      </c>
      <c r="E200" s="11">
        <v>0</v>
      </c>
      <c r="F200" s="11">
        <v>8</v>
      </c>
      <c r="G200" s="11">
        <v>1</v>
      </c>
      <c r="H200" s="11">
        <v>1</v>
      </c>
      <c r="I200" s="11">
        <v>102.52050300000001</v>
      </c>
      <c r="J200" s="11">
        <v>2.139869</v>
      </c>
      <c r="K200" s="11">
        <v>0</v>
      </c>
      <c r="L200" s="11">
        <v>5.0502789999999997</v>
      </c>
      <c r="M200" s="11">
        <v>8.8365960000000001</v>
      </c>
      <c r="N200" s="11">
        <v>149.56174300000001</v>
      </c>
      <c r="O200" s="11">
        <v>64.535763000000003</v>
      </c>
      <c r="P200" s="11">
        <v>6.7831769999999993</v>
      </c>
      <c r="Q200" s="11">
        <v>87.205720999999997</v>
      </c>
      <c r="R200" s="11">
        <v>1.0707389999999999</v>
      </c>
    </row>
    <row r="201" spans="1:18" x14ac:dyDescent="0.25">
      <c r="A201" s="37">
        <v>2022</v>
      </c>
      <c r="B201">
        <v>51656</v>
      </c>
      <c r="C201" s="11">
        <v>434.54729299999997</v>
      </c>
      <c r="D201" s="11">
        <v>108.566703</v>
      </c>
      <c r="E201" s="11">
        <v>0</v>
      </c>
      <c r="F201" s="11">
        <v>4</v>
      </c>
      <c r="G201" s="11">
        <v>0</v>
      </c>
      <c r="H201" s="11">
        <v>0</v>
      </c>
      <c r="I201" s="11">
        <v>96.229607000000001</v>
      </c>
      <c r="J201" s="11">
        <v>4</v>
      </c>
      <c r="K201" s="11">
        <v>0</v>
      </c>
      <c r="L201" s="11">
        <v>4</v>
      </c>
      <c r="M201" s="11">
        <v>8.154693</v>
      </c>
      <c r="N201" s="11">
        <v>126.90007199999999</v>
      </c>
      <c r="O201" s="11">
        <v>58.947406000000001</v>
      </c>
      <c r="P201" s="11">
        <v>0.60833300000000001</v>
      </c>
      <c r="Q201" s="11">
        <v>154.751666</v>
      </c>
      <c r="R201" s="11">
        <v>0.94740799999999992</v>
      </c>
    </row>
    <row r="202" spans="1:18" x14ac:dyDescent="0.25">
      <c r="A202" s="37">
        <v>2022</v>
      </c>
      <c r="B202">
        <v>51672</v>
      </c>
      <c r="C202" s="11">
        <v>5.091755</v>
      </c>
      <c r="D202" s="11">
        <v>0</v>
      </c>
      <c r="E202" s="11">
        <v>0</v>
      </c>
      <c r="F202" s="11">
        <v>0</v>
      </c>
      <c r="G202" s="11">
        <v>0</v>
      </c>
      <c r="H202" s="11">
        <v>0</v>
      </c>
      <c r="I202" s="11">
        <v>0.55780200000000002</v>
      </c>
      <c r="J202" s="11">
        <v>0</v>
      </c>
      <c r="K202" s="11">
        <v>0</v>
      </c>
      <c r="L202" s="11">
        <v>0</v>
      </c>
      <c r="M202" s="11">
        <v>0.27522999999999997</v>
      </c>
      <c r="N202" s="11">
        <v>2.1407419999999999</v>
      </c>
      <c r="O202" s="11">
        <v>0</v>
      </c>
      <c r="P202" s="11">
        <v>0</v>
      </c>
      <c r="Q202" s="11">
        <v>0</v>
      </c>
      <c r="R202" s="11">
        <v>1.25926</v>
      </c>
    </row>
    <row r="203" spans="1:18" x14ac:dyDescent="0.25">
      <c r="A203" s="37">
        <v>2022</v>
      </c>
      <c r="B203">
        <v>51672</v>
      </c>
      <c r="C203" s="11">
        <v>5.6446009999999998</v>
      </c>
      <c r="D203" s="11">
        <v>0</v>
      </c>
      <c r="E203" s="11">
        <v>0</v>
      </c>
      <c r="F203" s="11">
        <v>0</v>
      </c>
      <c r="G203" s="11">
        <v>0</v>
      </c>
      <c r="H203" s="11">
        <v>0</v>
      </c>
      <c r="I203" s="11">
        <v>0.13761499999999999</v>
      </c>
      <c r="J203" s="11">
        <v>0</v>
      </c>
      <c r="K203" s="11">
        <v>0</v>
      </c>
      <c r="L203" s="11">
        <v>0.13761499999999999</v>
      </c>
      <c r="M203" s="11">
        <v>0</v>
      </c>
      <c r="N203" s="11">
        <v>2.1407419999999999</v>
      </c>
      <c r="O203" s="11">
        <v>0</v>
      </c>
      <c r="P203" s="11">
        <v>0</v>
      </c>
      <c r="Q203" s="11">
        <v>0</v>
      </c>
      <c r="R203" s="11">
        <v>1.4481489999999999</v>
      </c>
    </row>
    <row r="204" spans="1:18" x14ac:dyDescent="0.25">
      <c r="A204" s="37">
        <v>2022</v>
      </c>
      <c r="B204">
        <v>51672</v>
      </c>
      <c r="C204" s="11">
        <v>289.66064599999999</v>
      </c>
      <c r="D204" s="11">
        <v>79.267665999999991</v>
      </c>
      <c r="E204" s="11">
        <v>0</v>
      </c>
      <c r="F204" s="11">
        <v>0</v>
      </c>
      <c r="G204" s="11">
        <v>0</v>
      </c>
      <c r="H204" s="11">
        <v>0</v>
      </c>
      <c r="I204" s="11">
        <v>50.997918999999996</v>
      </c>
      <c r="J204" s="11">
        <v>3</v>
      </c>
      <c r="K204" s="11">
        <v>0</v>
      </c>
      <c r="L204" s="11">
        <v>4</v>
      </c>
      <c r="M204" s="11">
        <v>3</v>
      </c>
      <c r="N204" s="11">
        <v>90.242786999999993</v>
      </c>
      <c r="O204" s="11">
        <v>36.841659</v>
      </c>
      <c r="P204" s="11">
        <v>0</v>
      </c>
      <c r="Q204" s="11">
        <v>136.540077</v>
      </c>
      <c r="R204" s="11">
        <v>1.4231149999999999</v>
      </c>
    </row>
    <row r="205" spans="1:18" x14ac:dyDescent="0.25">
      <c r="A205" s="37">
        <v>2022</v>
      </c>
      <c r="B205">
        <v>51672</v>
      </c>
      <c r="C205" s="11">
        <v>242.912058</v>
      </c>
      <c r="D205" s="11">
        <v>67.479320000000001</v>
      </c>
      <c r="E205" s="11">
        <v>0</v>
      </c>
      <c r="F205" s="11">
        <v>0</v>
      </c>
      <c r="G205" s="11">
        <v>0</v>
      </c>
      <c r="H205" s="11">
        <v>1</v>
      </c>
      <c r="I205" s="11">
        <v>34.474406999999999</v>
      </c>
      <c r="J205" s="11">
        <v>0.5</v>
      </c>
      <c r="K205" s="11">
        <v>0</v>
      </c>
      <c r="L205" s="11">
        <v>0</v>
      </c>
      <c r="M205" s="11">
        <v>3</v>
      </c>
      <c r="N205" s="11">
        <v>85.720061000000001</v>
      </c>
      <c r="O205" s="11">
        <v>25.845385</v>
      </c>
      <c r="P205" s="11">
        <v>0</v>
      </c>
      <c r="Q205" s="11">
        <v>83.736477999999991</v>
      </c>
      <c r="R205" s="11">
        <v>0.69259300000000001</v>
      </c>
    </row>
    <row r="206" spans="1:18" x14ac:dyDescent="0.25">
      <c r="A206" s="37">
        <v>2022</v>
      </c>
      <c r="B206">
        <v>51698</v>
      </c>
      <c r="C206" s="11">
        <v>244.05676499999998</v>
      </c>
      <c r="D206" s="11">
        <v>46.862212999999997</v>
      </c>
      <c r="E206" s="11">
        <v>0</v>
      </c>
      <c r="F206" s="11">
        <v>0</v>
      </c>
      <c r="G206" s="11">
        <v>0</v>
      </c>
      <c r="H206" s="11">
        <v>0</v>
      </c>
      <c r="I206" s="11">
        <v>49.095765</v>
      </c>
      <c r="J206" s="11">
        <v>3</v>
      </c>
      <c r="K206" s="11">
        <v>0</v>
      </c>
      <c r="L206" s="11">
        <v>1</v>
      </c>
      <c r="M206" s="11">
        <v>3</v>
      </c>
      <c r="N206" s="11">
        <v>83.318205999999989</v>
      </c>
      <c r="O206" s="11">
        <v>30.777749999999997</v>
      </c>
      <c r="P206" s="11">
        <v>0</v>
      </c>
      <c r="Q206" s="11">
        <v>70.31467099999999</v>
      </c>
      <c r="R206" s="11">
        <v>0</v>
      </c>
    </row>
    <row r="207" spans="1:18" x14ac:dyDescent="0.25">
      <c r="A207" s="37">
        <v>2022</v>
      </c>
      <c r="B207">
        <v>51698</v>
      </c>
      <c r="C207" s="11">
        <v>239.70587599999999</v>
      </c>
      <c r="D207" s="11">
        <v>91.672095999999996</v>
      </c>
      <c r="E207" s="11">
        <v>0</v>
      </c>
      <c r="F207" s="11">
        <v>0</v>
      </c>
      <c r="G207" s="11">
        <v>0</v>
      </c>
      <c r="H207" s="11">
        <v>0</v>
      </c>
      <c r="I207" s="11">
        <v>46.944972</v>
      </c>
      <c r="J207" s="11">
        <v>0</v>
      </c>
      <c r="K207" s="11">
        <v>1.5</v>
      </c>
      <c r="L207" s="11">
        <v>0</v>
      </c>
      <c r="M207" s="11">
        <v>1.0195529999999999</v>
      </c>
      <c r="N207" s="11">
        <v>88.684879999999993</v>
      </c>
      <c r="O207" s="11">
        <v>24.299150999999998</v>
      </c>
      <c r="P207" s="11">
        <v>0</v>
      </c>
      <c r="Q207" s="11">
        <v>67.983874999999998</v>
      </c>
      <c r="R207" s="11">
        <v>0</v>
      </c>
    </row>
    <row r="208" spans="1:18" x14ac:dyDescent="0.25">
      <c r="A208" s="37">
        <v>2022</v>
      </c>
      <c r="B208">
        <v>51714</v>
      </c>
      <c r="C208" s="11">
        <v>1.24244</v>
      </c>
      <c r="D208" s="11">
        <v>0</v>
      </c>
      <c r="E208" s="11">
        <v>0</v>
      </c>
      <c r="F208" s="11">
        <v>0</v>
      </c>
      <c r="G208" s="11">
        <v>0</v>
      </c>
      <c r="H208" s="11">
        <v>0</v>
      </c>
      <c r="I208" s="11">
        <v>2.878E-2</v>
      </c>
      <c r="J208" s="11">
        <v>0</v>
      </c>
      <c r="K208" s="11">
        <v>0</v>
      </c>
      <c r="L208" s="11">
        <v>0</v>
      </c>
      <c r="M208" s="11">
        <v>0</v>
      </c>
      <c r="N208" s="11">
        <v>0.55430999999999997</v>
      </c>
      <c r="O208" s="11">
        <v>0</v>
      </c>
      <c r="P208" s="11">
        <v>0</v>
      </c>
      <c r="Q208" s="11">
        <v>0</v>
      </c>
      <c r="R208" s="11">
        <v>0</v>
      </c>
    </row>
    <row r="209" spans="1:18" x14ac:dyDescent="0.25">
      <c r="A209" s="37">
        <v>2022</v>
      </c>
      <c r="B209">
        <v>51714</v>
      </c>
      <c r="C209" s="11">
        <v>3.8417919999999999</v>
      </c>
      <c r="D209" s="11">
        <v>0</v>
      </c>
      <c r="E209" s="11">
        <v>0</v>
      </c>
      <c r="F209" s="11">
        <v>0</v>
      </c>
      <c r="G209" s="11">
        <v>0</v>
      </c>
      <c r="H209" s="11">
        <v>0</v>
      </c>
      <c r="I209" s="11">
        <v>0.31</v>
      </c>
      <c r="J209" s="11">
        <v>0</v>
      </c>
      <c r="K209" s="11">
        <v>0</v>
      </c>
      <c r="L209" s="11">
        <v>0</v>
      </c>
      <c r="M209" s="11">
        <v>0</v>
      </c>
      <c r="N209" s="11">
        <v>3.057283</v>
      </c>
      <c r="O209" s="11">
        <v>0</v>
      </c>
      <c r="P209" s="11">
        <v>0</v>
      </c>
      <c r="Q209" s="11">
        <v>0</v>
      </c>
      <c r="R209" s="11">
        <v>0</v>
      </c>
    </row>
    <row r="210" spans="1:18" x14ac:dyDescent="0.25">
      <c r="A210" s="37">
        <v>2022</v>
      </c>
      <c r="B210">
        <v>51714</v>
      </c>
      <c r="C210" s="11">
        <v>2.7841199999999997</v>
      </c>
      <c r="D210" s="11">
        <v>0</v>
      </c>
      <c r="E210" s="11">
        <v>0</v>
      </c>
      <c r="F210" s="11">
        <v>0</v>
      </c>
      <c r="G210" s="11">
        <v>0</v>
      </c>
      <c r="H210" s="11">
        <v>0</v>
      </c>
      <c r="I210" s="11">
        <v>0.36</v>
      </c>
      <c r="J210" s="11">
        <v>0.18411999999999998</v>
      </c>
      <c r="K210" s="11">
        <v>0</v>
      </c>
      <c r="L210" s="11">
        <v>0</v>
      </c>
      <c r="M210" s="11">
        <v>0</v>
      </c>
      <c r="N210" s="11">
        <v>2.0176780000000001</v>
      </c>
      <c r="O210" s="11">
        <v>0</v>
      </c>
      <c r="P210" s="11">
        <v>0</v>
      </c>
      <c r="Q210" s="11">
        <v>0</v>
      </c>
      <c r="R210" s="11">
        <v>0</v>
      </c>
    </row>
    <row r="211" spans="1:18" x14ac:dyDescent="0.25">
      <c r="A211" s="37">
        <v>2022</v>
      </c>
      <c r="B211">
        <v>51714</v>
      </c>
      <c r="C211" s="11">
        <v>395.78433200000001</v>
      </c>
      <c r="D211" s="11">
        <v>150.49433399999998</v>
      </c>
      <c r="E211" s="11">
        <v>0</v>
      </c>
      <c r="F211" s="11">
        <v>3</v>
      </c>
      <c r="G211" s="11">
        <v>0</v>
      </c>
      <c r="H211" s="11">
        <v>0</v>
      </c>
      <c r="I211" s="11">
        <v>77.956479999999999</v>
      </c>
      <c r="J211" s="11">
        <v>5.3826809999999998</v>
      </c>
      <c r="K211" s="11">
        <v>1</v>
      </c>
      <c r="L211" s="11">
        <v>8.3798999999999998E-2</v>
      </c>
      <c r="M211" s="11">
        <v>7.117318</v>
      </c>
      <c r="N211" s="11">
        <v>116.882013</v>
      </c>
      <c r="O211" s="11">
        <v>51.309483</v>
      </c>
      <c r="P211" s="11">
        <v>0</v>
      </c>
      <c r="Q211" s="11">
        <v>133.16423599999999</v>
      </c>
      <c r="R211" s="11">
        <v>0</v>
      </c>
    </row>
    <row r="212" spans="1:18" x14ac:dyDescent="0.25">
      <c r="A212" s="37">
        <v>2022</v>
      </c>
      <c r="B212">
        <v>51714</v>
      </c>
      <c r="C212" s="11">
        <v>312.10793100000001</v>
      </c>
      <c r="D212" s="11">
        <v>80.03396699999999</v>
      </c>
      <c r="E212" s="11">
        <v>0</v>
      </c>
      <c r="F212" s="11">
        <v>2</v>
      </c>
      <c r="G212" s="11">
        <v>0</v>
      </c>
      <c r="H212" s="11">
        <v>0</v>
      </c>
      <c r="I212" s="11">
        <v>61.800529999999995</v>
      </c>
      <c r="J212" s="11">
        <v>5.12</v>
      </c>
      <c r="K212" s="11">
        <v>0</v>
      </c>
      <c r="L212" s="11">
        <v>3.1340779999999997</v>
      </c>
      <c r="M212" s="11">
        <v>8.370000000000001</v>
      </c>
      <c r="N212" s="11">
        <v>87.070340999999999</v>
      </c>
      <c r="O212" s="11">
        <v>45.226211999999997</v>
      </c>
      <c r="P212" s="11">
        <v>0</v>
      </c>
      <c r="Q212" s="11">
        <v>83.916417999999993</v>
      </c>
      <c r="R212" s="11">
        <v>0</v>
      </c>
    </row>
    <row r="213" spans="1:18" x14ac:dyDescent="0.25">
      <c r="A213" s="37">
        <v>2022</v>
      </c>
      <c r="B213">
        <v>51714</v>
      </c>
      <c r="C213" s="11">
        <v>0.92390000000000005</v>
      </c>
      <c r="D213" s="11">
        <v>0</v>
      </c>
      <c r="E213" s="11">
        <v>0</v>
      </c>
      <c r="F213" s="11">
        <v>0</v>
      </c>
      <c r="G213" s="11">
        <v>0</v>
      </c>
      <c r="H213" s="11">
        <v>0</v>
      </c>
      <c r="I213" s="11">
        <v>2.878E-2</v>
      </c>
      <c r="J213" s="11">
        <v>0</v>
      </c>
      <c r="K213" s="11">
        <v>0</v>
      </c>
      <c r="L213" s="11">
        <v>0</v>
      </c>
      <c r="M213" s="11">
        <v>0</v>
      </c>
      <c r="N213" s="11">
        <v>0.51102199999999998</v>
      </c>
      <c r="O213" s="11">
        <v>0</v>
      </c>
      <c r="P213" s="11">
        <v>0</v>
      </c>
      <c r="Q213" s="11">
        <v>0</v>
      </c>
      <c r="R213" s="11">
        <v>0</v>
      </c>
    </row>
    <row r="214" spans="1:18" x14ac:dyDescent="0.25">
      <c r="A214" s="37">
        <v>2022</v>
      </c>
      <c r="B214">
        <v>62026</v>
      </c>
      <c r="C214" s="11">
        <v>293.96821</v>
      </c>
      <c r="D214" s="11">
        <v>69.733232999999998</v>
      </c>
      <c r="E214" s="11">
        <v>0</v>
      </c>
      <c r="F214" s="11">
        <v>0</v>
      </c>
      <c r="G214" s="11">
        <v>0</v>
      </c>
      <c r="H214" s="11">
        <v>0</v>
      </c>
      <c r="I214" s="11">
        <v>74.385651999999993</v>
      </c>
      <c r="J214" s="11">
        <v>2</v>
      </c>
      <c r="K214" s="11">
        <v>0</v>
      </c>
      <c r="L214" s="11">
        <v>1</v>
      </c>
      <c r="M214" s="11">
        <v>3</v>
      </c>
      <c r="N214" s="11">
        <v>65.431173000000001</v>
      </c>
      <c r="O214" s="11">
        <v>42.128178999999996</v>
      </c>
      <c r="P214" s="11">
        <v>0</v>
      </c>
      <c r="Q214" s="11">
        <v>75.944880999999995</v>
      </c>
      <c r="R214" s="11">
        <v>0</v>
      </c>
    </row>
    <row r="215" spans="1:18" x14ac:dyDescent="0.25">
      <c r="A215" s="37">
        <v>2022</v>
      </c>
      <c r="B215">
        <v>62026</v>
      </c>
      <c r="C215" s="11">
        <v>344.51550299999997</v>
      </c>
      <c r="D215" s="11">
        <v>102.61821</v>
      </c>
      <c r="E215" s="11">
        <v>0</v>
      </c>
      <c r="F215" s="11">
        <v>0</v>
      </c>
      <c r="G215" s="11">
        <v>0</v>
      </c>
      <c r="H215" s="11">
        <v>0</v>
      </c>
      <c r="I215" s="11">
        <v>52.325000000000003</v>
      </c>
      <c r="J215" s="11">
        <v>5.7784089999999999</v>
      </c>
      <c r="K215" s="11">
        <v>0</v>
      </c>
      <c r="L215" s="11">
        <v>1.0284089999999999</v>
      </c>
      <c r="M215" s="11">
        <v>2.1477269999999997</v>
      </c>
      <c r="N215" s="11">
        <v>80.034987999999998</v>
      </c>
      <c r="O215" s="11">
        <v>49.400905999999999</v>
      </c>
      <c r="P215" s="11">
        <v>0</v>
      </c>
      <c r="Q215" s="11">
        <v>90.840693000000002</v>
      </c>
      <c r="R215" s="11">
        <v>0</v>
      </c>
    </row>
    <row r="216" spans="1:18" x14ac:dyDescent="0.25">
      <c r="A216" s="37">
        <v>2022</v>
      </c>
      <c r="B216">
        <v>62026</v>
      </c>
      <c r="C216" s="11">
        <v>6.9901499999999999</v>
      </c>
      <c r="D216" s="11">
        <v>3.1571449999999999</v>
      </c>
      <c r="E216" s="11">
        <v>0</v>
      </c>
      <c r="F216" s="11">
        <v>0</v>
      </c>
      <c r="G216" s="11">
        <v>0</v>
      </c>
      <c r="H216" s="11">
        <v>0</v>
      </c>
      <c r="I216" s="11">
        <v>1.6460599999999999</v>
      </c>
      <c r="J216" s="11">
        <v>0</v>
      </c>
      <c r="K216" s="11">
        <v>0</v>
      </c>
      <c r="L216" s="11">
        <v>0</v>
      </c>
      <c r="M216" s="11">
        <v>0</v>
      </c>
      <c r="N216" s="11">
        <v>3.078516</v>
      </c>
      <c r="O216" s="11">
        <v>0</v>
      </c>
      <c r="P216" s="11">
        <v>2.3333309999999998</v>
      </c>
      <c r="Q216" s="11">
        <v>0</v>
      </c>
      <c r="R216" s="11">
        <v>0</v>
      </c>
    </row>
    <row r="217" spans="1:18" x14ac:dyDescent="0.25">
      <c r="A217" s="37">
        <v>2022</v>
      </c>
      <c r="B217">
        <v>62026</v>
      </c>
      <c r="C217" s="11">
        <v>13.214774999999999</v>
      </c>
      <c r="D217" s="11">
        <v>7.8217629999999998</v>
      </c>
      <c r="E217" s="11">
        <v>0</v>
      </c>
      <c r="F217" s="11">
        <v>0</v>
      </c>
      <c r="G217" s="11">
        <v>0</v>
      </c>
      <c r="H217" s="11">
        <v>0</v>
      </c>
      <c r="I217" s="11">
        <v>0</v>
      </c>
      <c r="J217" s="11">
        <v>0</v>
      </c>
      <c r="K217" s="11">
        <v>0</v>
      </c>
      <c r="L217" s="11">
        <v>0</v>
      </c>
      <c r="M217" s="11">
        <v>0</v>
      </c>
      <c r="N217" s="11">
        <v>3.5238319999999996</v>
      </c>
      <c r="O217" s="11">
        <v>0</v>
      </c>
      <c r="P217" s="11">
        <v>7.0000019999999994</v>
      </c>
      <c r="Q217" s="11">
        <v>0</v>
      </c>
      <c r="R217" s="11">
        <v>0</v>
      </c>
    </row>
    <row r="218" spans="1:18" x14ac:dyDescent="0.25">
      <c r="A218" s="37">
        <v>2022</v>
      </c>
      <c r="B218">
        <v>62042</v>
      </c>
      <c r="C218" s="11">
        <v>7.7997909999999999</v>
      </c>
      <c r="D218" s="11">
        <v>0</v>
      </c>
      <c r="E218" s="11">
        <v>0</v>
      </c>
      <c r="F218" s="11">
        <v>0</v>
      </c>
      <c r="G218" s="11">
        <v>0</v>
      </c>
      <c r="H218" s="11">
        <v>0</v>
      </c>
      <c r="I218" s="11">
        <v>1.6992149999999999</v>
      </c>
      <c r="J218" s="11">
        <v>0</v>
      </c>
      <c r="K218" s="11">
        <v>0</v>
      </c>
      <c r="L218" s="11">
        <v>0</v>
      </c>
      <c r="M218" s="11">
        <v>0</v>
      </c>
      <c r="N218" s="11">
        <v>7.8870009999999997</v>
      </c>
      <c r="O218" s="11">
        <v>0</v>
      </c>
      <c r="P218" s="11">
        <v>0</v>
      </c>
      <c r="Q218" s="11">
        <v>0</v>
      </c>
      <c r="R218" s="11">
        <v>0</v>
      </c>
    </row>
    <row r="219" spans="1:18" x14ac:dyDescent="0.25">
      <c r="A219" s="37">
        <v>2022</v>
      </c>
      <c r="B219">
        <v>62042</v>
      </c>
      <c r="C219" s="11">
        <v>208.26978299999999</v>
      </c>
      <c r="D219" s="11">
        <v>29.592921999999998</v>
      </c>
      <c r="E219" s="11">
        <v>0</v>
      </c>
      <c r="F219" s="11">
        <v>0</v>
      </c>
      <c r="G219" s="11">
        <v>0</v>
      </c>
      <c r="H219" s="11">
        <v>0</v>
      </c>
      <c r="I219" s="11">
        <v>35.416083</v>
      </c>
      <c r="J219" s="11">
        <v>0.20786499999999999</v>
      </c>
      <c r="K219" s="11">
        <v>1</v>
      </c>
      <c r="L219" s="11">
        <v>0</v>
      </c>
      <c r="M219" s="11">
        <v>1.7295829999999999</v>
      </c>
      <c r="N219" s="11">
        <v>47.305031</v>
      </c>
      <c r="O219" s="11">
        <v>44.595244000000001</v>
      </c>
      <c r="P219" s="11">
        <v>0</v>
      </c>
      <c r="Q219" s="11">
        <v>67.632047</v>
      </c>
      <c r="R219" s="11">
        <v>0</v>
      </c>
    </row>
    <row r="220" spans="1:18" x14ac:dyDescent="0.25">
      <c r="A220" s="37">
        <v>2022</v>
      </c>
      <c r="B220">
        <v>62042</v>
      </c>
      <c r="C220" s="11">
        <v>180.286731</v>
      </c>
      <c r="D220" s="11">
        <v>61.621685999999997</v>
      </c>
      <c r="E220" s="11">
        <v>0</v>
      </c>
      <c r="F220" s="11">
        <v>0</v>
      </c>
      <c r="G220" s="11">
        <v>0</v>
      </c>
      <c r="H220" s="11">
        <v>0</v>
      </c>
      <c r="I220" s="11">
        <v>43.768540000000002</v>
      </c>
      <c r="J220" s="11">
        <v>2.809E-2</v>
      </c>
      <c r="K220" s="11">
        <v>1</v>
      </c>
      <c r="L220" s="11">
        <v>0</v>
      </c>
      <c r="M220" s="11">
        <v>1.241573</v>
      </c>
      <c r="N220" s="11">
        <v>46.210723999999999</v>
      </c>
      <c r="O220" s="11">
        <v>31.900319999999997</v>
      </c>
      <c r="P220" s="11">
        <v>0</v>
      </c>
      <c r="Q220" s="11">
        <v>54.604115999999998</v>
      </c>
      <c r="R220" s="11">
        <v>0</v>
      </c>
    </row>
    <row r="221" spans="1:18" x14ac:dyDescent="0.25">
      <c r="A221" s="37">
        <v>2022</v>
      </c>
      <c r="B221">
        <v>62042</v>
      </c>
      <c r="C221" s="11">
        <v>9.6306739999999991</v>
      </c>
      <c r="D221" s="11">
        <v>0</v>
      </c>
      <c r="E221" s="11">
        <v>0</v>
      </c>
      <c r="F221" s="11">
        <v>0</v>
      </c>
      <c r="G221" s="11">
        <v>0</v>
      </c>
      <c r="H221" s="11">
        <v>0</v>
      </c>
      <c r="I221" s="11">
        <v>1.1612039999999999</v>
      </c>
      <c r="J221" s="11">
        <v>0</v>
      </c>
      <c r="K221" s="11">
        <v>0</v>
      </c>
      <c r="L221" s="11">
        <v>0.12753899999999999</v>
      </c>
      <c r="M221" s="11">
        <v>0</v>
      </c>
      <c r="N221" s="11">
        <v>5.1773549999999995</v>
      </c>
      <c r="O221" s="11">
        <v>0</v>
      </c>
      <c r="P221" s="11">
        <v>0</v>
      </c>
      <c r="Q221" s="11">
        <v>0</v>
      </c>
      <c r="R221" s="11">
        <v>0</v>
      </c>
    </row>
    <row r="222" spans="1:18" x14ac:dyDescent="0.25">
      <c r="A222" s="37">
        <v>2022</v>
      </c>
      <c r="B222">
        <v>62042</v>
      </c>
      <c r="C222" s="11">
        <v>1.6500000000000001</v>
      </c>
      <c r="D222" s="11">
        <v>0</v>
      </c>
      <c r="E222" s="11">
        <v>0</v>
      </c>
      <c r="F222" s="11">
        <v>0</v>
      </c>
      <c r="G222" s="11">
        <v>0</v>
      </c>
      <c r="H222" s="11">
        <v>0</v>
      </c>
      <c r="I222" s="11">
        <v>0.11</v>
      </c>
      <c r="J222" s="11">
        <v>0</v>
      </c>
      <c r="K222" s="11">
        <v>0</v>
      </c>
      <c r="L222" s="11">
        <v>0</v>
      </c>
      <c r="M222" s="11">
        <v>0</v>
      </c>
      <c r="N222" s="11">
        <v>0.83333999999999997</v>
      </c>
      <c r="O222" s="11">
        <v>0</v>
      </c>
      <c r="P222" s="11">
        <v>0</v>
      </c>
      <c r="Q222" s="11">
        <v>0</v>
      </c>
      <c r="R222" s="11">
        <v>0</v>
      </c>
    </row>
    <row r="223" spans="1:18" x14ac:dyDescent="0.25">
      <c r="A223" s="37">
        <v>2022</v>
      </c>
      <c r="B223">
        <v>62042</v>
      </c>
      <c r="C223" s="11">
        <v>38.785288000000001</v>
      </c>
      <c r="D223" s="11">
        <v>8.11</v>
      </c>
      <c r="E223" s="11">
        <v>0</v>
      </c>
      <c r="F223" s="11">
        <v>0</v>
      </c>
      <c r="G223" s="11">
        <v>0</v>
      </c>
      <c r="H223" s="11">
        <v>0</v>
      </c>
      <c r="I223" s="11">
        <v>17.292932</v>
      </c>
      <c r="J223" s="11">
        <v>1</v>
      </c>
      <c r="K223" s="11">
        <v>0</v>
      </c>
      <c r="L223" s="11">
        <v>0</v>
      </c>
      <c r="M223" s="11">
        <v>1</v>
      </c>
      <c r="N223" s="11">
        <v>7.451422</v>
      </c>
      <c r="O223" s="11">
        <v>0</v>
      </c>
      <c r="P223" s="11">
        <v>5.9773829999999997</v>
      </c>
      <c r="Q223" s="11">
        <v>12.353156999999999</v>
      </c>
      <c r="R223" s="11">
        <v>0</v>
      </c>
    </row>
    <row r="224" spans="1:18" x14ac:dyDescent="0.25">
      <c r="A224" s="37">
        <v>2022</v>
      </c>
      <c r="B224">
        <v>62067</v>
      </c>
      <c r="C224" s="11">
        <v>7.3612339999999996</v>
      </c>
      <c r="D224" s="11">
        <v>7.3612339999999996</v>
      </c>
      <c r="E224" s="11">
        <v>0</v>
      </c>
      <c r="F224" s="11">
        <v>0</v>
      </c>
      <c r="G224" s="11">
        <v>0</v>
      </c>
      <c r="H224" s="11">
        <v>0</v>
      </c>
      <c r="I224" s="11">
        <v>0.30365599999999998</v>
      </c>
      <c r="J224" s="11">
        <v>0</v>
      </c>
      <c r="K224" s="11">
        <v>0</v>
      </c>
      <c r="L224" s="11">
        <v>1.0972279999999999</v>
      </c>
      <c r="M224" s="11">
        <v>0</v>
      </c>
      <c r="N224" s="11">
        <v>5.3086039999999999</v>
      </c>
      <c r="O224" s="11">
        <v>0</v>
      </c>
      <c r="P224" s="11">
        <v>0</v>
      </c>
      <c r="Q224" s="11">
        <v>0</v>
      </c>
      <c r="R224" s="11">
        <v>0</v>
      </c>
    </row>
    <row r="225" spans="1:18" x14ac:dyDescent="0.25">
      <c r="A225" s="37">
        <v>2022</v>
      </c>
      <c r="B225">
        <v>62067</v>
      </c>
      <c r="C225" s="11">
        <v>8.0636559999999999</v>
      </c>
      <c r="D225" s="11">
        <v>8.0636559999999999</v>
      </c>
      <c r="E225" s="11">
        <v>0</v>
      </c>
      <c r="F225" s="11">
        <v>0</v>
      </c>
      <c r="G225" s="11">
        <v>0</v>
      </c>
      <c r="H225" s="11">
        <v>0</v>
      </c>
      <c r="I225" s="11">
        <v>0.91</v>
      </c>
      <c r="J225" s="11">
        <v>0</v>
      </c>
      <c r="K225" s="11">
        <v>0.13</v>
      </c>
      <c r="L225" s="11">
        <v>0</v>
      </c>
      <c r="M225" s="11">
        <v>0</v>
      </c>
      <c r="N225" s="11">
        <v>2.6634509999999998</v>
      </c>
      <c r="O225" s="11">
        <v>0</v>
      </c>
      <c r="P225" s="11">
        <v>0</v>
      </c>
      <c r="Q225" s="11">
        <v>3.317936</v>
      </c>
      <c r="R225" s="11">
        <v>0</v>
      </c>
    </row>
    <row r="226" spans="1:18" x14ac:dyDescent="0.25">
      <c r="A226" s="37">
        <v>2022</v>
      </c>
      <c r="B226">
        <v>62067</v>
      </c>
      <c r="C226" s="11">
        <v>52.575890000000001</v>
      </c>
      <c r="D226" s="11">
        <v>51.220306000000001</v>
      </c>
      <c r="E226" s="11">
        <v>0</v>
      </c>
      <c r="F226" s="11">
        <v>0</v>
      </c>
      <c r="G226" s="11">
        <v>0</v>
      </c>
      <c r="H226" s="11">
        <v>0</v>
      </c>
      <c r="I226" s="11">
        <v>2.7739099999999999</v>
      </c>
      <c r="J226" s="11">
        <v>0</v>
      </c>
      <c r="K226" s="11">
        <v>0</v>
      </c>
      <c r="L226" s="11">
        <v>2.3637189999999997</v>
      </c>
      <c r="M226" s="11">
        <v>2.3715169999999999</v>
      </c>
      <c r="N226" s="11">
        <v>19.673254</v>
      </c>
      <c r="O226" s="11">
        <v>1.8163019999999999</v>
      </c>
      <c r="P226" s="11">
        <v>0</v>
      </c>
      <c r="Q226" s="11">
        <v>0.44444799999999995</v>
      </c>
      <c r="R226" s="11">
        <v>0</v>
      </c>
    </row>
    <row r="227" spans="1:18" x14ac:dyDescent="0.25">
      <c r="A227" s="37">
        <v>2022</v>
      </c>
      <c r="B227">
        <v>62067</v>
      </c>
      <c r="C227" s="11">
        <v>68.789306999999994</v>
      </c>
      <c r="D227" s="11">
        <v>62.723616999999997</v>
      </c>
      <c r="E227" s="11">
        <v>0</v>
      </c>
      <c r="F227" s="11">
        <v>0</v>
      </c>
      <c r="G227" s="11">
        <v>0</v>
      </c>
      <c r="H227" s="11">
        <v>0</v>
      </c>
      <c r="I227" s="11">
        <v>7.2866419999999996</v>
      </c>
      <c r="J227" s="11">
        <v>0.12480000000000001</v>
      </c>
      <c r="K227" s="11">
        <v>0.13</v>
      </c>
      <c r="L227" s="11">
        <v>3</v>
      </c>
      <c r="M227" s="11">
        <v>2.2518979999999997</v>
      </c>
      <c r="N227" s="11">
        <v>22.509301999999998</v>
      </c>
      <c r="O227" s="11">
        <v>4.9645019999999995</v>
      </c>
      <c r="P227" s="11">
        <v>1.96899</v>
      </c>
      <c r="Q227" s="11">
        <v>3.0586599999999997</v>
      </c>
      <c r="R227" s="11">
        <v>0</v>
      </c>
    </row>
    <row r="228" spans="1:18" x14ac:dyDescent="0.25">
      <c r="A228" s="37">
        <v>2022</v>
      </c>
      <c r="B228">
        <v>62067</v>
      </c>
      <c r="C228" s="11">
        <v>262.55592300000001</v>
      </c>
      <c r="D228" s="11">
        <v>259.291967</v>
      </c>
      <c r="E228" s="11">
        <v>0</v>
      </c>
      <c r="F228" s="11">
        <v>0</v>
      </c>
      <c r="G228" s="11">
        <v>0</v>
      </c>
      <c r="H228" s="11">
        <v>0.97209299999999998</v>
      </c>
      <c r="I228" s="11">
        <v>46.208492999999997</v>
      </c>
      <c r="J228" s="11">
        <v>5.0893030000000001</v>
      </c>
      <c r="K228" s="11">
        <v>0</v>
      </c>
      <c r="L228" s="11">
        <v>6.3876719999999994</v>
      </c>
      <c r="M228" s="11">
        <v>6</v>
      </c>
      <c r="N228" s="11">
        <v>76.439290999999997</v>
      </c>
      <c r="O228" s="11">
        <v>46.991645999999996</v>
      </c>
      <c r="P228" s="11">
        <v>0</v>
      </c>
      <c r="Q228" s="11">
        <v>30.572706</v>
      </c>
      <c r="R228" s="11">
        <v>0</v>
      </c>
    </row>
    <row r="229" spans="1:18" x14ac:dyDescent="0.25">
      <c r="A229" s="37">
        <v>2022</v>
      </c>
      <c r="B229">
        <v>62067</v>
      </c>
      <c r="C229" s="11">
        <v>218.535529</v>
      </c>
      <c r="D229" s="11">
        <v>208.47461999999999</v>
      </c>
      <c r="E229" s="11">
        <v>0</v>
      </c>
      <c r="F229" s="11">
        <v>0</v>
      </c>
      <c r="G229" s="11">
        <v>0</v>
      </c>
      <c r="H229" s="11">
        <v>0</v>
      </c>
      <c r="I229" s="11">
        <v>27.793378999999998</v>
      </c>
      <c r="J229" s="11">
        <v>0.22418399999999999</v>
      </c>
      <c r="K229" s="11">
        <v>0</v>
      </c>
      <c r="L229" s="11">
        <v>5.7683710000000001</v>
      </c>
      <c r="M229" s="11">
        <v>7.13</v>
      </c>
      <c r="N229" s="11">
        <v>75.828048999999993</v>
      </c>
      <c r="O229" s="11">
        <v>27.355936999999997</v>
      </c>
      <c r="P229" s="11">
        <v>0</v>
      </c>
      <c r="Q229" s="11">
        <v>26.737641</v>
      </c>
      <c r="R229" s="11">
        <v>0</v>
      </c>
    </row>
    <row r="230" spans="1:18" x14ac:dyDescent="0.25">
      <c r="A230" s="37">
        <v>2022</v>
      </c>
      <c r="B230">
        <v>62125</v>
      </c>
      <c r="C230" s="11">
        <v>554.31671800000004</v>
      </c>
      <c r="D230" s="11">
        <v>136.66444999999999</v>
      </c>
      <c r="E230" s="11">
        <v>0.14000000000000001</v>
      </c>
      <c r="F230" s="11">
        <v>0</v>
      </c>
      <c r="G230" s="11">
        <v>0</v>
      </c>
      <c r="H230" s="11">
        <v>0</v>
      </c>
      <c r="I230" s="11">
        <v>87.665015999999994</v>
      </c>
      <c r="J230" s="11">
        <v>2.0828609999999999</v>
      </c>
      <c r="K230" s="11">
        <v>0</v>
      </c>
      <c r="L230" s="11">
        <v>4.3685399999999994</v>
      </c>
      <c r="M230" s="11">
        <v>8.0299999999999994</v>
      </c>
      <c r="N230" s="11">
        <v>199.718875</v>
      </c>
      <c r="O230" s="11">
        <v>70.916292999999996</v>
      </c>
      <c r="P230" s="11">
        <v>5.3832699999999996</v>
      </c>
      <c r="Q230" s="11">
        <v>195.047932</v>
      </c>
      <c r="R230" s="11">
        <v>6.5415649999999994</v>
      </c>
    </row>
    <row r="231" spans="1:18" x14ac:dyDescent="0.25">
      <c r="A231" s="37">
        <v>2022</v>
      </c>
      <c r="B231">
        <v>62125</v>
      </c>
      <c r="C231" s="11">
        <v>85.273612999999997</v>
      </c>
      <c r="D231" s="11">
        <v>26.423133</v>
      </c>
      <c r="E231" s="11">
        <v>0</v>
      </c>
      <c r="F231" s="11">
        <v>0</v>
      </c>
      <c r="G231" s="11">
        <v>0</v>
      </c>
      <c r="H231" s="11">
        <v>0</v>
      </c>
      <c r="I231" s="11">
        <v>12.652555</v>
      </c>
      <c r="J231" s="11">
        <v>0</v>
      </c>
      <c r="K231" s="11">
        <v>0.25</v>
      </c>
      <c r="L231" s="11">
        <v>0</v>
      </c>
      <c r="M231" s="11">
        <v>0.81</v>
      </c>
      <c r="N231" s="11">
        <v>34.318121999999995</v>
      </c>
      <c r="O231" s="11">
        <v>0</v>
      </c>
      <c r="P231" s="11">
        <v>0.78888899999999995</v>
      </c>
      <c r="Q231" s="11">
        <v>0.55555500000000002</v>
      </c>
      <c r="R231" s="11">
        <v>18.590764</v>
      </c>
    </row>
    <row r="232" spans="1:18" x14ac:dyDescent="0.25">
      <c r="A232" s="37">
        <v>2022</v>
      </c>
      <c r="B232">
        <v>62125</v>
      </c>
      <c r="C232" s="11">
        <v>92.18481899999999</v>
      </c>
      <c r="D232" s="11">
        <v>29.545779</v>
      </c>
      <c r="E232" s="11">
        <v>0</v>
      </c>
      <c r="F232" s="11">
        <v>0</v>
      </c>
      <c r="G232" s="11">
        <v>0</v>
      </c>
      <c r="H232" s="11">
        <v>0</v>
      </c>
      <c r="I232" s="11">
        <v>13.162100000000001</v>
      </c>
      <c r="J232" s="11">
        <v>0.28000000000000003</v>
      </c>
      <c r="K232" s="11">
        <v>0</v>
      </c>
      <c r="L232" s="11">
        <v>0.14000000000000001</v>
      </c>
      <c r="M232" s="11">
        <v>0.56000000000000005</v>
      </c>
      <c r="N232" s="11">
        <v>32.580371999999997</v>
      </c>
      <c r="O232" s="11">
        <v>0</v>
      </c>
      <c r="P232" s="11">
        <v>0</v>
      </c>
      <c r="Q232" s="11">
        <v>0</v>
      </c>
      <c r="R232" s="11">
        <v>24.837750999999997</v>
      </c>
    </row>
    <row r="233" spans="1:18" x14ac:dyDescent="0.25">
      <c r="A233" s="37">
        <v>2022</v>
      </c>
      <c r="B233">
        <v>62125</v>
      </c>
      <c r="C233" s="11">
        <v>53.478476999999998</v>
      </c>
      <c r="D233" s="11">
        <v>27.092703999999998</v>
      </c>
      <c r="E233" s="11">
        <v>0</v>
      </c>
      <c r="F233" s="11">
        <v>0</v>
      </c>
      <c r="G233" s="11">
        <v>0</v>
      </c>
      <c r="H233" s="11">
        <v>3.5324000000000001E-2</v>
      </c>
      <c r="I233" s="11">
        <v>5.9332259999999994</v>
      </c>
      <c r="J233" s="11">
        <v>0.34</v>
      </c>
      <c r="K233" s="11">
        <v>0.28000000000000003</v>
      </c>
      <c r="L233" s="11">
        <v>0.28145999999999999</v>
      </c>
      <c r="M233" s="11">
        <v>0.44942299999999996</v>
      </c>
      <c r="N233" s="11">
        <v>12.971522999999999</v>
      </c>
      <c r="O233" s="11">
        <v>0</v>
      </c>
      <c r="P233" s="11">
        <v>7.1742369999999998</v>
      </c>
      <c r="Q233" s="11">
        <v>5.4389289999999999</v>
      </c>
      <c r="R233" s="11">
        <v>4.7767629999999999</v>
      </c>
    </row>
    <row r="234" spans="1:18" x14ac:dyDescent="0.25">
      <c r="A234" s="37">
        <v>2022</v>
      </c>
      <c r="B234">
        <v>62125</v>
      </c>
      <c r="C234" s="11">
        <v>66.419647999999995</v>
      </c>
      <c r="D234" s="11">
        <v>10.374238999999999</v>
      </c>
      <c r="E234" s="11">
        <v>0</v>
      </c>
      <c r="F234" s="11">
        <v>0</v>
      </c>
      <c r="G234" s="11">
        <v>0</v>
      </c>
      <c r="H234" s="11">
        <v>0.135492</v>
      </c>
      <c r="I234" s="11">
        <v>5.6217920000000001</v>
      </c>
      <c r="J234" s="11">
        <v>0.31750600000000001</v>
      </c>
      <c r="K234" s="11">
        <v>0</v>
      </c>
      <c r="L234" s="11">
        <v>0.23</v>
      </c>
      <c r="M234" s="11">
        <v>0.23</v>
      </c>
      <c r="N234" s="11">
        <v>14.687128</v>
      </c>
      <c r="O234" s="11">
        <v>0</v>
      </c>
      <c r="P234" s="11">
        <v>0</v>
      </c>
      <c r="Q234" s="11">
        <v>4.479069</v>
      </c>
      <c r="R234" s="11">
        <v>11.739352999999999</v>
      </c>
    </row>
    <row r="235" spans="1:18" x14ac:dyDescent="0.25">
      <c r="A235" s="37">
        <v>2022</v>
      </c>
      <c r="B235">
        <v>62125</v>
      </c>
      <c r="C235" s="11">
        <v>531.75311199999999</v>
      </c>
      <c r="D235" s="11">
        <v>93.854992999999993</v>
      </c>
      <c r="E235" s="11">
        <v>0</v>
      </c>
      <c r="F235" s="11">
        <v>0</v>
      </c>
      <c r="G235" s="11">
        <v>0</v>
      </c>
      <c r="H235" s="11">
        <v>0</v>
      </c>
      <c r="I235" s="11">
        <v>89.121401999999989</v>
      </c>
      <c r="J235" s="11">
        <v>2.9567239999999999</v>
      </c>
      <c r="K235" s="11">
        <v>0</v>
      </c>
      <c r="L235" s="11">
        <v>10</v>
      </c>
      <c r="M235" s="11">
        <v>11.652944</v>
      </c>
      <c r="N235" s="11">
        <v>165.35405500000002</v>
      </c>
      <c r="O235" s="11">
        <v>63.856771999999999</v>
      </c>
      <c r="P235" s="11">
        <v>23.872709999999998</v>
      </c>
      <c r="Q235" s="11">
        <v>143.363</v>
      </c>
      <c r="R235" s="11">
        <v>9.122897</v>
      </c>
    </row>
    <row r="236" spans="1:18" x14ac:dyDescent="0.25">
      <c r="A236" s="37">
        <v>2022</v>
      </c>
      <c r="B236">
        <v>62802</v>
      </c>
      <c r="C236" s="11">
        <v>175.344043</v>
      </c>
      <c r="D236" s="11">
        <v>66.261628000000002</v>
      </c>
      <c r="E236" s="11">
        <v>0</v>
      </c>
      <c r="F236" s="11">
        <v>0</v>
      </c>
      <c r="G236" s="11">
        <v>0</v>
      </c>
      <c r="H236" s="11">
        <v>0.98837199999999992</v>
      </c>
      <c r="I236" s="11">
        <v>36.41583</v>
      </c>
      <c r="J236" s="11">
        <v>2</v>
      </c>
      <c r="K236" s="11">
        <v>0</v>
      </c>
      <c r="L236" s="11">
        <v>0.5</v>
      </c>
      <c r="M236" s="11">
        <v>3</v>
      </c>
      <c r="N236" s="11">
        <v>48.674811999999996</v>
      </c>
      <c r="O236" s="11">
        <v>25.274559999999997</v>
      </c>
      <c r="P236" s="11">
        <v>0</v>
      </c>
      <c r="Q236" s="11">
        <v>37.590413999999996</v>
      </c>
      <c r="R236" s="11">
        <v>0</v>
      </c>
    </row>
    <row r="237" spans="1:18" x14ac:dyDescent="0.25">
      <c r="A237" s="37">
        <v>2022</v>
      </c>
      <c r="B237">
        <v>62802</v>
      </c>
      <c r="C237" s="11">
        <v>16.445276</v>
      </c>
      <c r="D237" s="11">
        <v>0</v>
      </c>
      <c r="E237" s="11">
        <v>0</v>
      </c>
      <c r="F237" s="11">
        <v>0</v>
      </c>
      <c r="G237" s="11">
        <v>0</v>
      </c>
      <c r="H237" s="11">
        <v>0.19516999999999998</v>
      </c>
      <c r="I237" s="11">
        <v>2.2335609999999999</v>
      </c>
      <c r="J237" s="11">
        <v>2.2158999999999998E-2</v>
      </c>
      <c r="K237" s="11">
        <v>0</v>
      </c>
      <c r="L237" s="11">
        <v>0.15</v>
      </c>
      <c r="M237" s="11">
        <v>0</v>
      </c>
      <c r="N237" s="11">
        <v>0</v>
      </c>
      <c r="O237" s="11">
        <v>0</v>
      </c>
      <c r="P237" s="11">
        <v>0</v>
      </c>
      <c r="Q237" s="11">
        <v>0</v>
      </c>
      <c r="R237" s="11">
        <v>0</v>
      </c>
    </row>
    <row r="238" spans="1:18" x14ac:dyDescent="0.25">
      <c r="A238" s="37">
        <v>2022</v>
      </c>
      <c r="B238">
        <v>62802</v>
      </c>
      <c r="C238" s="11">
        <v>16.334174999999998</v>
      </c>
      <c r="D238" s="11">
        <v>0</v>
      </c>
      <c r="E238" s="11">
        <v>0</v>
      </c>
      <c r="F238" s="11">
        <v>0</v>
      </c>
      <c r="G238" s="11">
        <v>0</v>
      </c>
      <c r="H238" s="11">
        <v>0.242093</v>
      </c>
      <c r="I238" s="11">
        <v>0.94185599999999992</v>
      </c>
      <c r="J238" s="11">
        <v>0.15</v>
      </c>
      <c r="K238" s="11">
        <v>9.2092999999999994E-2</v>
      </c>
      <c r="L238" s="11">
        <v>0</v>
      </c>
      <c r="M238" s="11">
        <v>0</v>
      </c>
      <c r="N238" s="11">
        <v>6.2665099999999994</v>
      </c>
      <c r="O238" s="11">
        <v>0</v>
      </c>
      <c r="P238" s="11">
        <v>0</v>
      </c>
      <c r="Q238" s="11">
        <v>0</v>
      </c>
      <c r="R238" s="11">
        <v>0</v>
      </c>
    </row>
    <row r="239" spans="1:18" x14ac:dyDescent="0.25">
      <c r="A239" s="37">
        <v>2022</v>
      </c>
      <c r="B239">
        <v>62802</v>
      </c>
      <c r="C239" s="11">
        <v>16.932907</v>
      </c>
      <c r="D239" s="11">
        <v>0</v>
      </c>
      <c r="E239" s="11">
        <v>0</v>
      </c>
      <c r="F239" s="11">
        <v>0</v>
      </c>
      <c r="G239" s="11">
        <v>0</v>
      </c>
      <c r="H239" s="11">
        <v>0</v>
      </c>
      <c r="I239" s="11">
        <v>2.8220929999999997</v>
      </c>
      <c r="J239" s="11">
        <v>0</v>
      </c>
      <c r="K239" s="11">
        <v>0</v>
      </c>
      <c r="L239" s="11">
        <v>0</v>
      </c>
      <c r="M239" s="11">
        <v>0.15</v>
      </c>
      <c r="N239" s="11">
        <v>6.5785830000000001</v>
      </c>
      <c r="O239" s="11">
        <v>0</v>
      </c>
      <c r="P239" s="11">
        <v>0</v>
      </c>
      <c r="Q239" s="11">
        <v>0</v>
      </c>
      <c r="R239" s="11">
        <v>0</v>
      </c>
    </row>
    <row r="240" spans="1:18" x14ac:dyDescent="0.25">
      <c r="A240" s="37">
        <v>2022</v>
      </c>
      <c r="B240">
        <v>62802</v>
      </c>
      <c r="C240" s="11">
        <v>1.5</v>
      </c>
      <c r="D240" s="11">
        <v>0</v>
      </c>
      <c r="E240" s="11">
        <v>0</v>
      </c>
      <c r="F240" s="11">
        <v>0</v>
      </c>
      <c r="G240" s="11">
        <v>0</v>
      </c>
      <c r="H240" s="11">
        <v>0</v>
      </c>
      <c r="I240" s="11">
        <v>0</v>
      </c>
      <c r="J240" s="11">
        <v>0</v>
      </c>
      <c r="K240" s="11">
        <v>0</v>
      </c>
      <c r="L240" s="11">
        <v>0</v>
      </c>
      <c r="M240" s="11">
        <v>0</v>
      </c>
      <c r="N240" s="11">
        <v>0.41666599999999998</v>
      </c>
      <c r="O240" s="11">
        <v>0.41666599999999998</v>
      </c>
      <c r="P240" s="11">
        <v>0</v>
      </c>
      <c r="Q240" s="11">
        <v>0.41666599999999998</v>
      </c>
      <c r="R240" s="11">
        <v>0</v>
      </c>
    </row>
    <row r="241" spans="1:18" x14ac:dyDescent="0.25">
      <c r="A241" s="37">
        <v>2022</v>
      </c>
      <c r="B241">
        <v>62802</v>
      </c>
      <c r="C241" s="11">
        <v>1</v>
      </c>
      <c r="D241" s="11">
        <v>0</v>
      </c>
      <c r="E241" s="11">
        <v>0</v>
      </c>
      <c r="F241" s="11">
        <v>0</v>
      </c>
      <c r="G241" s="11">
        <v>0</v>
      </c>
      <c r="H241" s="11">
        <v>0</v>
      </c>
      <c r="I241" s="11">
        <v>1</v>
      </c>
      <c r="J241" s="11">
        <v>0</v>
      </c>
      <c r="K241" s="11">
        <v>0</v>
      </c>
      <c r="L241" s="11">
        <v>0</v>
      </c>
      <c r="M241" s="11">
        <v>0</v>
      </c>
      <c r="N241" s="11">
        <v>0.41666599999999998</v>
      </c>
      <c r="O241" s="11">
        <v>0</v>
      </c>
      <c r="P241" s="11">
        <v>0</v>
      </c>
      <c r="Q241" s="11">
        <v>0.23518499999999998</v>
      </c>
      <c r="R241" s="11">
        <v>0</v>
      </c>
    </row>
    <row r="242" spans="1:18" x14ac:dyDescent="0.25">
      <c r="A242" s="37">
        <v>2022</v>
      </c>
      <c r="B242">
        <v>62802</v>
      </c>
      <c r="C242" s="11">
        <v>186.50934999999998</v>
      </c>
      <c r="D242" s="11">
        <v>41.346590999999997</v>
      </c>
      <c r="E242" s="11">
        <v>0</v>
      </c>
      <c r="F242" s="11">
        <v>0</v>
      </c>
      <c r="G242" s="11">
        <v>0</v>
      </c>
      <c r="H242" s="11">
        <v>0</v>
      </c>
      <c r="I242" s="11">
        <v>33.423296999999998</v>
      </c>
      <c r="J242" s="11">
        <v>2</v>
      </c>
      <c r="K242" s="11">
        <v>1</v>
      </c>
      <c r="L242" s="11">
        <v>0</v>
      </c>
      <c r="M242" s="11">
        <v>1.8863639999999999</v>
      </c>
      <c r="N242" s="11">
        <v>51.011590999999996</v>
      </c>
      <c r="O242" s="11">
        <v>25.734209999999997</v>
      </c>
      <c r="P242" s="11">
        <v>0</v>
      </c>
      <c r="Q242" s="11">
        <v>69.796202999999991</v>
      </c>
      <c r="R242" s="11">
        <v>0</v>
      </c>
    </row>
    <row r="243" spans="1:18" x14ac:dyDescent="0.25">
      <c r="A243" s="37">
        <v>2022</v>
      </c>
      <c r="B243">
        <v>63495</v>
      </c>
      <c r="C243" s="11">
        <v>182.05852999999999</v>
      </c>
      <c r="D243" s="11">
        <v>43.129761999999999</v>
      </c>
      <c r="E243" s="11">
        <v>0</v>
      </c>
      <c r="F243" s="11">
        <v>0</v>
      </c>
      <c r="G243" s="11">
        <v>0</v>
      </c>
      <c r="H243" s="11">
        <v>0</v>
      </c>
      <c r="I243" s="11">
        <v>26.705952</v>
      </c>
      <c r="J243" s="11">
        <v>0.4</v>
      </c>
      <c r="K243" s="11">
        <v>0</v>
      </c>
      <c r="L243" s="11">
        <v>0</v>
      </c>
      <c r="M243" s="11">
        <v>3.4</v>
      </c>
      <c r="N243" s="11">
        <v>37.130000000000003</v>
      </c>
      <c r="O243" s="11">
        <v>66.790947000000003</v>
      </c>
      <c r="P243" s="11">
        <v>0</v>
      </c>
      <c r="Q243" s="11">
        <v>0</v>
      </c>
      <c r="R243" s="11">
        <v>0</v>
      </c>
    </row>
    <row r="244" spans="1:18" x14ac:dyDescent="0.25">
      <c r="A244" s="37">
        <v>2022</v>
      </c>
      <c r="B244">
        <v>63495</v>
      </c>
      <c r="C244" s="11">
        <v>187.23101199999999</v>
      </c>
      <c r="D244" s="11">
        <v>54.227618999999997</v>
      </c>
      <c r="E244" s="11">
        <v>0</v>
      </c>
      <c r="F244" s="11">
        <v>0</v>
      </c>
      <c r="G244" s="11">
        <v>0</v>
      </c>
      <c r="H244" s="11">
        <v>0</v>
      </c>
      <c r="I244" s="11">
        <v>11.380953999999999</v>
      </c>
      <c r="J244" s="11">
        <v>1</v>
      </c>
      <c r="K244" s="11">
        <v>0</v>
      </c>
      <c r="L244" s="11">
        <v>1</v>
      </c>
      <c r="M244" s="11">
        <v>1</v>
      </c>
      <c r="N244" s="11">
        <v>56.637127999999997</v>
      </c>
      <c r="O244" s="11">
        <v>56.825983999999998</v>
      </c>
      <c r="P244" s="11">
        <v>0</v>
      </c>
      <c r="Q244" s="11">
        <v>0</v>
      </c>
      <c r="R244" s="11">
        <v>0</v>
      </c>
    </row>
    <row r="245" spans="1:18" x14ac:dyDescent="0.25">
      <c r="A245" s="37">
        <v>2022</v>
      </c>
      <c r="B245">
        <v>63511</v>
      </c>
      <c r="C245" s="11">
        <v>0</v>
      </c>
      <c r="D245" s="11">
        <v>0</v>
      </c>
      <c r="E245" s="11">
        <v>0</v>
      </c>
      <c r="F245" s="11">
        <v>0</v>
      </c>
      <c r="G245" s="11">
        <v>0</v>
      </c>
      <c r="H245" s="11">
        <v>0</v>
      </c>
      <c r="I245" s="11">
        <v>0</v>
      </c>
      <c r="J245" s="11">
        <v>0</v>
      </c>
      <c r="K245" s="11">
        <v>0</v>
      </c>
      <c r="L245" s="11">
        <v>0</v>
      </c>
      <c r="M245" s="11">
        <v>0</v>
      </c>
      <c r="N245" s="11">
        <v>0</v>
      </c>
      <c r="O245" s="11">
        <v>0</v>
      </c>
      <c r="P245" s="11">
        <v>0</v>
      </c>
      <c r="Q245" s="11">
        <v>0</v>
      </c>
      <c r="R245" s="11">
        <v>0</v>
      </c>
    </row>
    <row r="246" spans="1:18" x14ac:dyDescent="0.25">
      <c r="A246" s="37">
        <v>2022</v>
      </c>
      <c r="B246">
        <v>63511</v>
      </c>
      <c r="C246" s="11">
        <v>17.993109999999998</v>
      </c>
      <c r="D246" s="11">
        <v>0</v>
      </c>
      <c r="E246" s="11">
        <v>0</v>
      </c>
      <c r="F246" s="11">
        <v>0</v>
      </c>
      <c r="G246" s="11">
        <v>0</v>
      </c>
      <c r="H246" s="11">
        <v>0.1</v>
      </c>
      <c r="I246" s="11">
        <v>1.775706</v>
      </c>
      <c r="J246" s="11">
        <v>2.6445999999999997E-2</v>
      </c>
      <c r="K246" s="11">
        <v>0</v>
      </c>
      <c r="L246" s="11">
        <v>0</v>
      </c>
      <c r="M246" s="11">
        <v>8.4960999999999995E-2</v>
      </c>
      <c r="N246" s="11">
        <v>0</v>
      </c>
      <c r="O246" s="11">
        <v>0</v>
      </c>
      <c r="P246" s="11">
        <v>0</v>
      </c>
      <c r="Q246" s="11">
        <v>0</v>
      </c>
      <c r="R246" s="11">
        <v>0</v>
      </c>
    </row>
    <row r="247" spans="1:18" x14ac:dyDescent="0.25">
      <c r="A247" s="37">
        <v>2022</v>
      </c>
      <c r="B247">
        <v>63511</v>
      </c>
      <c r="C247" s="11">
        <v>30.634020999999997</v>
      </c>
      <c r="D247" s="11">
        <v>0.70000000000000007</v>
      </c>
      <c r="E247" s="11">
        <v>0</v>
      </c>
      <c r="F247" s="11">
        <v>0</v>
      </c>
      <c r="G247" s="11">
        <v>0</v>
      </c>
      <c r="H247" s="11">
        <v>0</v>
      </c>
      <c r="I247" s="11">
        <v>4.3719929999999998</v>
      </c>
      <c r="J247" s="11">
        <v>4.9249999999999997E-3</v>
      </c>
      <c r="K247" s="11">
        <v>0</v>
      </c>
      <c r="L247" s="11">
        <v>0</v>
      </c>
      <c r="M247" s="11">
        <v>0</v>
      </c>
      <c r="N247" s="11">
        <v>23.040450999999997</v>
      </c>
      <c r="O247" s="11">
        <v>0</v>
      </c>
      <c r="P247" s="11">
        <v>0</v>
      </c>
      <c r="Q247" s="11">
        <v>1.705657</v>
      </c>
      <c r="R247" s="11">
        <v>0</v>
      </c>
    </row>
    <row r="248" spans="1:18" x14ac:dyDescent="0.25">
      <c r="A248" s="37">
        <v>2022</v>
      </c>
      <c r="B248">
        <v>63511</v>
      </c>
      <c r="C248" s="11">
        <v>27.235523999999998</v>
      </c>
      <c r="D248" s="11">
        <v>0.14000000000000001</v>
      </c>
      <c r="E248" s="11">
        <v>0</v>
      </c>
      <c r="F248" s="11">
        <v>0</v>
      </c>
      <c r="G248" s="11">
        <v>0</v>
      </c>
      <c r="H248" s="11">
        <v>2.5815999999999999E-2</v>
      </c>
      <c r="I248" s="11">
        <v>1.493781</v>
      </c>
      <c r="J248" s="11">
        <v>0.17157</v>
      </c>
      <c r="K248" s="11">
        <v>0</v>
      </c>
      <c r="L248" s="11">
        <v>0</v>
      </c>
      <c r="M248" s="11">
        <v>0.3</v>
      </c>
      <c r="N248" s="11">
        <v>10.537137999999999</v>
      </c>
      <c r="O248" s="11">
        <v>0</v>
      </c>
      <c r="P248" s="11">
        <v>0</v>
      </c>
      <c r="Q248" s="11">
        <v>4.0017759999999996</v>
      </c>
      <c r="R248" s="11">
        <v>0</v>
      </c>
    </row>
    <row r="249" spans="1:18" x14ac:dyDescent="0.25">
      <c r="A249" s="37">
        <v>2022</v>
      </c>
      <c r="B249">
        <v>63511</v>
      </c>
      <c r="C249" s="11">
        <v>11.796249999999999</v>
      </c>
      <c r="D249" s="11">
        <v>0.14000000000000001</v>
      </c>
      <c r="E249" s="11">
        <v>0</v>
      </c>
      <c r="F249" s="11">
        <v>0</v>
      </c>
      <c r="G249" s="11">
        <v>0</v>
      </c>
      <c r="H249" s="11">
        <v>0</v>
      </c>
      <c r="I249" s="11">
        <v>0.3</v>
      </c>
      <c r="J249" s="11">
        <v>0</v>
      </c>
      <c r="K249" s="11">
        <v>0</v>
      </c>
      <c r="L249" s="11">
        <v>0</v>
      </c>
      <c r="M249" s="11">
        <v>0.14000000000000001</v>
      </c>
      <c r="N249" s="11">
        <v>7.4276109999999997</v>
      </c>
      <c r="O249" s="11">
        <v>0.33333299999999999</v>
      </c>
      <c r="P249" s="11">
        <v>0</v>
      </c>
      <c r="Q249" s="11">
        <v>0.38889199999999996</v>
      </c>
      <c r="R249" s="11">
        <v>0</v>
      </c>
    </row>
    <row r="250" spans="1:18" x14ac:dyDescent="0.25">
      <c r="A250" s="37">
        <v>2022</v>
      </c>
      <c r="B250">
        <v>63511</v>
      </c>
      <c r="C250" s="11">
        <v>31.980936</v>
      </c>
      <c r="D250" s="11">
        <v>2.5806779999999998</v>
      </c>
      <c r="E250" s="11">
        <v>0</v>
      </c>
      <c r="F250" s="11">
        <v>0</v>
      </c>
      <c r="G250" s="11">
        <v>0</v>
      </c>
      <c r="H250" s="11">
        <v>0</v>
      </c>
      <c r="I250" s="11">
        <v>3.2438020000000001</v>
      </c>
      <c r="J250" s="11">
        <v>1.556271</v>
      </c>
      <c r="K250" s="11">
        <v>0</v>
      </c>
      <c r="L250" s="11">
        <v>0</v>
      </c>
      <c r="M250" s="11">
        <v>0</v>
      </c>
      <c r="N250" s="11">
        <v>9.7589069999999989</v>
      </c>
      <c r="O250" s="11">
        <v>2.2888869999999999</v>
      </c>
      <c r="P250" s="11">
        <v>1.96444</v>
      </c>
      <c r="Q250" s="11">
        <v>2.384131</v>
      </c>
      <c r="R250" s="11">
        <v>0</v>
      </c>
    </row>
    <row r="251" spans="1:18" x14ac:dyDescent="0.25">
      <c r="A251" s="37">
        <v>2022</v>
      </c>
      <c r="B251">
        <v>63511</v>
      </c>
      <c r="C251" s="11">
        <v>355.25040999999999</v>
      </c>
      <c r="D251" s="11">
        <v>35.783023999999997</v>
      </c>
      <c r="E251" s="11">
        <v>0</v>
      </c>
      <c r="F251" s="11">
        <v>11.758303999999999</v>
      </c>
      <c r="G251" s="11">
        <v>0</v>
      </c>
      <c r="H251" s="11">
        <v>0</v>
      </c>
      <c r="I251" s="11">
        <v>72.577490999999995</v>
      </c>
      <c r="J251" s="11">
        <v>3.9443409999999997</v>
      </c>
      <c r="K251" s="11">
        <v>0</v>
      </c>
      <c r="L251" s="11">
        <v>0.56000000000000005</v>
      </c>
      <c r="M251" s="11">
        <v>15.033581</v>
      </c>
      <c r="N251" s="11">
        <v>97.102080999999998</v>
      </c>
      <c r="O251" s="11">
        <v>76.657307000000003</v>
      </c>
      <c r="P251" s="11">
        <v>1.205962</v>
      </c>
      <c r="Q251" s="11">
        <v>133.216523</v>
      </c>
      <c r="R251" s="11">
        <v>0</v>
      </c>
    </row>
    <row r="252" spans="1:18" x14ac:dyDescent="0.25">
      <c r="A252" s="37">
        <v>2022</v>
      </c>
      <c r="B252">
        <v>63511</v>
      </c>
      <c r="C252" s="11">
        <v>348.99725999999998</v>
      </c>
      <c r="D252" s="11">
        <v>56.769929999999995</v>
      </c>
      <c r="E252" s="11">
        <v>0</v>
      </c>
      <c r="F252" s="11">
        <v>7.6698399999999998</v>
      </c>
      <c r="G252" s="11">
        <v>0</v>
      </c>
      <c r="H252" s="11">
        <v>1</v>
      </c>
      <c r="I252" s="11">
        <v>72.629153000000002</v>
      </c>
      <c r="J252" s="11">
        <v>3.5</v>
      </c>
      <c r="K252" s="11">
        <v>0</v>
      </c>
      <c r="L252" s="11">
        <v>1.0055969999999999</v>
      </c>
      <c r="M252" s="11">
        <v>15.071264999999999</v>
      </c>
      <c r="N252" s="11">
        <v>101.219099</v>
      </c>
      <c r="O252" s="11">
        <v>78.157640000000001</v>
      </c>
      <c r="P252" s="11">
        <v>2.319782</v>
      </c>
      <c r="Q252" s="11">
        <v>97.544044</v>
      </c>
      <c r="R252" s="11">
        <v>0</v>
      </c>
    </row>
    <row r="253" spans="1:18" x14ac:dyDescent="0.25">
      <c r="A253" s="37">
        <v>2022</v>
      </c>
      <c r="B253">
        <v>65227</v>
      </c>
      <c r="C253" s="11">
        <v>111.14984200000001</v>
      </c>
      <c r="D253" s="11">
        <v>52.995699999999999</v>
      </c>
      <c r="E253" s="11">
        <v>0.5</v>
      </c>
      <c r="F253" s="11">
        <v>0</v>
      </c>
      <c r="G253" s="11">
        <v>0</v>
      </c>
      <c r="H253" s="11">
        <v>0</v>
      </c>
      <c r="I253" s="11">
        <v>29</v>
      </c>
      <c r="J253" s="11">
        <v>1.046243</v>
      </c>
      <c r="K253" s="11">
        <v>0</v>
      </c>
      <c r="L253" s="11">
        <v>3</v>
      </c>
      <c r="M253" s="11">
        <v>5</v>
      </c>
      <c r="N253" s="11">
        <v>32.734983</v>
      </c>
      <c r="O253" s="11">
        <v>13.297739999999999</v>
      </c>
      <c r="P253" s="11">
        <v>0</v>
      </c>
      <c r="Q253" s="11">
        <v>30.266648999999997</v>
      </c>
      <c r="R253" s="11">
        <v>0</v>
      </c>
    </row>
    <row r="254" spans="1:18" x14ac:dyDescent="0.25">
      <c r="A254" s="37">
        <v>2022</v>
      </c>
      <c r="B254">
        <v>65227</v>
      </c>
      <c r="C254" s="11">
        <v>115.099046</v>
      </c>
      <c r="D254" s="11">
        <v>44.556500999999997</v>
      </c>
      <c r="E254" s="11">
        <v>0</v>
      </c>
      <c r="F254" s="11">
        <v>0</v>
      </c>
      <c r="G254" s="11">
        <v>0</v>
      </c>
      <c r="H254" s="11">
        <v>0</v>
      </c>
      <c r="I254" s="11">
        <v>22.233470999999998</v>
      </c>
      <c r="J254" s="11">
        <v>0</v>
      </c>
      <c r="K254" s="11">
        <v>0.5</v>
      </c>
      <c r="L254" s="11">
        <v>2</v>
      </c>
      <c r="M254" s="11">
        <v>3</v>
      </c>
      <c r="N254" s="11">
        <v>35.979821000000001</v>
      </c>
      <c r="O254" s="11">
        <v>15.040633</v>
      </c>
      <c r="P254" s="11">
        <v>0</v>
      </c>
      <c r="Q254" s="11">
        <v>35.238306000000001</v>
      </c>
      <c r="R254" s="11">
        <v>0</v>
      </c>
    </row>
    <row r="255" spans="1:18" x14ac:dyDescent="0.25">
      <c r="A255" s="37">
        <v>2022</v>
      </c>
      <c r="B255">
        <v>65268</v>
      </c>
      <c r="C255" s="11">
        <v>22.81889</v>
      </c>
      <c r="D255" s="11">
        <v>5</v>
      </c>
      <c r="E255" s="11">
        <v>0</v>
      </c>
      <c r="F255" s="11">
        <v>0</v>
      </c>
      <c r="G255" s="11">
        <v>0</v>
      </c>
      <c r="H255" s="11">
        <v>0</v>
      </c>
      <c r="I255" s="11">
        <v>9.0277779999999996</v>
      </c>
      <c r="J255" s="11">
        <v>2</v>
      </c>
      <c r="K255" s="11">
        <v>0</v>
      </c>
      <c r="L255" s="11">
        <v>0</v>
      </c>
      <c r="M255" s="11">
        <v>0</v>
      </c>
      <c r="N255" s="11">
        <v>7.958888</v>
      </c>
      <c r="O255" s="11">
        <v>0</v>
      </c>
      <c r="P255" s="11">
        <v>0</v>
      </c>
      <c r="Q255" s="11">
        <v>7.0361929999999999</v>
      </c>
      <c r="R255" s="11">
        <v>0</v>
      </c>
    </row>
    <row r="256" spans="1:18" x14ac:dyDescent="0.25">
      <c r="A256" s="37">
        <v>2022</v>
      </c>
      <c r="B256">
        <v>65268</v>
      </c>
      <c r="C256" s="11">
        <v>277.77510899999999</v>
      </c>
      <c r="D256" s="11">
        <v>56.606665999999997</v>
      </c>
      <c r="E256" s="11">
        <v>0</v>
      </c>
      <c r="F256" s="11">
        <v>0</v>
      </c>
      <c r="G256" s="11">
        <v>0</v>
      </c>
      <c r="H256" s="11">
        <v>0</v>
      </c>
      <c r="I256" s="11">
        <v>48.195108999999995</v>
      </c>
      <c r="J256" s="11">
        <v>1</v>
      </c>
      <c r="K256" s="11">
        <v>0</v>
      </c>
      <c r="L256" s="11">
        <v>3.3000000000000003</v>
      </c>
      <c r="M256" s="11">
        <v>6.3500000000000005</v>
      </c>
      <c r="N256" s="11">
        <v>86.648155000000003</v>
      </c>
      <c r="O256" s="11">
        <v>46.395328999999997</v>
      </c>
      <c r="P256" s="11">
        <v>0</v>
      </c>
      <c r="Q256" s="11">
        <v>87.801411999999999</v>
      </c>
      <c r="R256" s="11">
        <v>0</v>
      </c>
    </row>
    <row r="257" spans="1:18" x14ac:dyDescent="0.25">
      <c r="A257" s="37">
        <v>2022</v>
      </c>
      <c r="B257">
        <v>65268</v>
      </c>
      <c r="C257" s="11">
        <v>245.151445</v>
      </c>
      <c r="D257" s="11">
        <v>78.177776999999992</v>
      </c>
      <c r="E257" s="11">
        <v>0</v>
      </c>
      <c r="F257" s="11">
        <v>0</v>
      </c>
      <c r="G257" s="11">
        <v>0</v>
      </c>
      <c r="H257" s="11">
        <v>0</v>
      </c>
      <c r="I257" s="11">
        <v>52.333110999999995</v>
      </c>
      <c r="J257" s="11">
        <v>2</v>
      </c>
      <c r="K257" s="11">
        <v>0</v>
      </c>
      <c r="L257" s="11">
        <v>2.4300000000000002</v>
      </c>
      <c r="M257" s="11">
        <v>5.57</v>
      </c>
      <c r="N257" s="11">
        <v>72.066818999999995</v>
      </c>
      <c r="O257" s="11">
        <v>36.337890999999999</v>
      </c>
      <c r="P257" s="11">
        <v>0</v>
      </c>
      <c r="Q257" s="11">
        <v>79.508195999999998</v>
      </c>
      <c r="R257" s="11">
        <v>0</v>
      </c>
    </row>
    <row r="258" spans="1:18" x14ac:dyDescent="0.25">
      <c r="C258" s="11"/>
    </row>
  </sheetData>
  <pageMargins left="0.7" right="0.7" top="0.75" bottom="0.75" header="0.3" footer="0.3"/>
  <pageSetup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15C5F-1344-4752-AE31-83452AB697DF}">
  <dimension ref="A2:Q54"/>
  <sheetViews>
    <sheetView workbookViewId="0">
      <pane xSplit="1" ySplit="3" topLeftCell="C4" activePane="bottomRight" state="frozen"/>
      <selection pane="topRight" activeCell="B1" sqref="B1"/>
      <selection pane="bottomLeft" activeCell="A4" sqref="A4"/>
      <selection pane="bottomRight" activeCell="J37" sqref="J37"/>
    </sheetView>
  </sheetViews>
  <sheetFormatPr defaultRowHeight="15" x14ac:dyDescent="0.25"/>
  <cols>
    <col min="1" max="1" width="11.140625" bestFit="1" customWidth="1"/>
    <col min="2" max="2" width="12.5703125" bestFit="1" customWidth="1"/>
    <col min="3" max="3" width="12.28515625" customWidth="1"/>
    <col min="4" max="5" width="12.28515625" bestFit="1" customWidth="1"/>
    <col min="6" max="6" width="11.85546875" bestFit="1" customWidth="1"/>
    <col min="7" max="8" width="16.5703125" bestFit="1" customWidth="1"/>
    <col min="9" max="9" width="17" bestFit="1" customWidth="1"/>
    <col min="10" max="12" width="16.5703125" bestFit="1" customWidth="1"/>
    <col min="13" max="14" width="18.28515625" bestFit="1" customWidth="1"/>
    <col min="15" max="16" width="18.7109375" bestFit="1" customWidth="1"/>
    <col min="17" max="17" width="18.28515625" bestFit="1" customWidth="1"/>
  </cols>
  <sheetData>
    <row r="2" spans="1:17" x14ac:dyDescent="0.25">
      <c r="A2" s="36">
        <v>1</v>
      </c>
      <c r="B2" s="36">
        <v>2</v>
      </c>
      <c r="C2" s="36">
        <v>3</v>
      </c>
      <c r="D2" s="36">
        <v>4</v>
      </c>
      <c r="E2" s="36">
        <v>5</v>
      </c>
      <c r="F2" s="36">
        <v>6</v>
      </c>
      <c r="G2" s="36">
        <v>7</v>
      </c>
      <c r="H2" s="36">
        <v>8</v>
      </c>
      <c r="I2" s="36">
        <v>9</v>
      </c>
      <c r="J2" s="36">
        <v>10</v>
      </c>
      <c r="K2" s="36">
        <v>11</v>
      </c>
      <c r="L2" s="36">
        <v>12</v>
      </c>
      <c r="M2" s="36">
        <v>13</v>
      </c>
      <c r="N2" s="36">
        <v>14</v>
      </c>
      <c r="O2" s="36">
        <v>15</v>
      </c>
      <c r="P2" s="36">
        <v>16</v>
      </c>
      <c r="Q2" s="36">
        <v>17</v>
      </c>
    </row>
    <row r="3" spans="1:17" s="4" customFormat="1" ht="45" x14ac:dyDescent="0.25">
      <c r="A3" s="4" t="s">
        <v>0</v>
      </c>
      <c r="B3" s="3" t="s">
        <v>806</v>
      </c>
      <c r="C3" s="3" t="s">
        <v>775</v>
      </c>
      <c r="D3" s="5" t="s">
        <v>807</v>
      </c>
      <c r="E3" s="5" t="s">
        <v>808</v>
      </c>
      <c r="F3" s="5" t="s">
        <v>778</v>
      </c>
      <c r="G3" s="3" t="s">
        <v>779</v>
      </c>
      <c r="H3" s="3" t="s">
        <v>780</v>
      </c>
      <c r="I3" s="3" t="s">
        <v>809</v>
      </c>
      <c r="J3" s="3" t="s">
        <v>782</v>
      </c>
      <c r="K3" s="3" t="s">
        <v>783</v>
      </c>
      <c r="L3" s="3" t="s">
        <v>784</v>
      </c>
      <c r="M3" s="3" t="s">
        <v>785</v>
      </c>
      <c r="N3" s="3" t="s">
        <v>786</v>
      </c>
      <c r="O3" s="3" t="s">
        <v>810</v>
      </c>
      <c r="P3" s="3" t="s">
        <v>811</v>
      </c>
      <c r="Q3" s="3" t="s">
        <v>789</v>
      </c>
    </row>
    <row r="4" spans="1:17" x14ac:dyDescent="0.25">
      <c r="A4">
        <v>50773</v>
      </c>
      <c r="B4">
        <v>930.8405459999999</v>
      </c>
      <c r="C4">
        <v>203.49473900000001</v>
      </c>
      <c r="D4">
        <v>1</v>
      </c>
      <c r="E4">
        <v>0</v>
      </c>
      <c r="F4">
        <v>0</v>
      </c>
      <c r="G4">
        <v>0</v>
      </c>
      <c r="H4">
        <v>149.57657</v>
      </c>
      <c r="I4">
        <v>7.3704289999999997</v>
      </c>
      <c r="J4">
        <v>1.1400000000000001</v>
      </c>
      <c r="K4">
        <v>4.1536989999999996</v>
      </c>
      <c r="L4">
        <v>8.4109289999999994</v>
      </c>
      <c r="M4">
        <v>325.10878399999996</v>
      </c>
      <c r="N4">
        <v>108.60028299999999</v>
      </c>
      <c r="O4">
        <v>19.739010999999998</v>
      </c>
      <c r="P4">
        <v>308.44359699999995</v>
      </c>
      <c r="Q4">
        <v>15.025414</v>
      </c>
    </row>
    <row r="5" spans="1:17" x14ac:dyDescent="0.25">
      <c r="A5">
        <v>50799</v>
      </c>
      <c r="B5">
        <v>592.72147400000006</v>
      </c>
      <c r="C5">
        <v>150.02125599999999</v>
      </c>
      <c r="D5">
        <v>0</v>
      </c>
      <c r="E5">
        <v>0</v>
      </c>
      <c r="F5">
        <v>0</v>
      </c>
      <c r="G5">
        <v>2.061925</v>
      </c>
      <c r="H5">
        <v>86.585172</v>
      </c>
      <c r="I5">
        <v>1.56</v>
      </c>
      <c r="J5">
        <v>0</v>
      </c>
      <c r="K5">
        <v>4.6066660000000006</v>
      </c>
      <c r="L5">
        <v>5.2329179999999997</v>
      </c>
      <c r="M5">
        <v>196.03726399999999</v>
      </c>
      <c r="N5">
        <v>87.174734000000001</v>
      </c>
      <c r="O5">
        <v>0</v>
      </c>
      <c r="P5">
        <v>189.48335400000002</v>
      </c>
      <c r="Q5">
        <v>0</v>
      </c>
    </row>
    <row r="6" spans="1:17" x14ac:dyDescent="0.25">
      <c r="A6">
        <v>50815</v>
      </c>
      <c r="B6">
        <v>678.78378799999996</v>
      </c>
      <c r="C6">
        <v>233.57389899999998</v>
      </c>
      <c r="D6">
        <v>0</v>
      </c>
      <c r="E6">
        <v>0</v>
      </c>
      <c r="F6">
        <v>0</v>
      </c>
      <c r="G6">
        <v>0.03</v>
      </c>
      <c r="H6">
        <v>133.11366299999997</v>
      </c>
      <c r="I6">
        <v>18.439377</v>
      </c>
      <c r="J6">
        <v>1.35955</v>
      </c>
      <c r="K6">
        <v>1.247093</v>
      </c>
      <c r="L6">
        <v>17.676752</v>
      </c>
      <c r="M6">
        <v>228.28345999999999</v>
      </c>
      <c r="N6">
        <v>73.987215999999989</v>
      </c>
      <c r="O6">
        <v>0</v>
      </c>
      <c r="P6">
        <v>200.89753899999999</v>
      </c>
      <c r="Q6">
        <v>0</v>
      </c>
    </row>
    <row r="7" spans="1:17" x14ac:dyDescent="0.25">
      <c r="A7">
        <v>50856</v>
      </c>
      <c r="B7">
        <v>443.57848999999999</v>
      </c>
      <c r="C7">
        <v>156.83333100000002</v>
      </c>
      <c r="D7">
        <v>0</v>
      </c>
      <c r="E7">
        <v>0.13</v>
      </c>
      <c r="F7">
        <v>0.13</v>
      </c>
      <c r="G7">
        <v>9.8920999999999995E-2</v>
      </c>
      <c r="H7">
        <v>112.08581700000001</v>
      </c>
      <c r="I7">
        <v>4.0654450000000004</v>
      </c>
      <c r="J7">
        <v>0</v>
      </c>
      <c r="K7">
        <v>2.1460669999999999</v>
      </c>
      <c r="L7">
        <v>4.2091640000000003</v>
      </c>
      <c r="M7">
        <v>165.23842400000001</v>
      </c>
      <c r="N7">
        <v>70.726689999999991</v>
      </c>
      <c r="O7">
        <v>0</v>
      </c>
      <c r="P7">
        <v>150.44100499999999</v>
      </c>
      <c r="Q7">
        <v>0</v>
      </c>
    </row>
    <row r="8" spans="1:17" x14ac:dyDescent="0.25">
      <c r="A8">
        <v>50880</v>
      </c>
      <c r="B8">
        <v>3928.9351130000005</v>
      </c>
      <c r="C8">
        <v>1222.00891</v>
      </c>
      <c r="D8">
        <v>4.9871650000000001</v>
      </c>
      <c r="E8">
        <v>63.627516999999997</v>
      </c>
      <c r="F8">
        <v>14.133325999999997</v>
      </c>
      <c r="G8">
        <v>6.7526589999999995</v>
      </c>
      <c r="H8">
        <v>390.51146799999998</v>
      </c>
      <c r="I8">
        <v>28.296337000000001</v>
      </c>
      <c r="J8">
        <v>0.61266599999999993</v>
      </c>
      <c r="K8">
        <v>18.572634999999998</v>
      </c>
      <c r="L8">
        <v>66.750410000000002</v>
      </c>
      <c r="M8">
        <v>1206.772451</v>
      </c>
      <c r="N8">
        <v>773.97332099999994</v>
      </c>
      <c r="O8">
        <v>146.06397200000001</v>
      </c>
      <c r="P8">
        <v>583.60519099999999</v>
      </c>
      <c r="Q8">
        <v>152.30030799999997</v>
      </c>
    </row>
    <row r="9" spans="1:17" x14ac:dyDescent="0.25">
      <c r="A9">
        <v>50906</v>
      </c>
      <c r="B9">
        <v>304.15774199999998</v>
      </c>
      <c r="C9">
        <v>121.42729599999998</v>
      </c>
      <c r="D9">
        <v>0</v>
      </c>
      <c r="E9">
        <v>0</v>
      </c>
      <c r="F9">
        <v>0</v>
      </c>
      <c r="G9">
        <v>0</v>
      </c>
      <c r="H9">
        <v>44.305865999999995</v>
      </c>
      <c r="I9">
        <v>1</v>
      </c>
      <c r="J9">
        <v>0</v>
      </c>
      <c r="K9">
        <v>0.61452499999999999</v>
      </c>
      <c r="L9">
        <v>3</v>
      </c>
      <c r="M9">
        <v>125.78294</v>
      </c>
      <c r="N9">
        <v>43.050514999999997</v>
      </c>
      <c r="O9">
        <v>0</v>
      </c>
      <c r="P9">
        <v>100.78754699999999</v>
      </c>
      <c r="Q9">
        <v>0</v>
      </c>
    </row>
    <row r="10" spans="1:17" x14ac:dyDescent="0.25">
      <c r="A10">
        <v>50922</v>
      </c>
      <c r="B10">
        <v>361.20643200000001</v>
      </c>
      <c r="C10">
        <v>58.887223999999996</v>
      </c>
      <c r="D10">
        <v>0</v>
      </c>
      <c r="E10">
        <v>0</v>
      </c>
      <c r="F10">
        <v>0</v>
      </c>
      <c r="G10">
        <v>0</v>
      </c>
      <c r="H10">
        <v>69.072625000000002</v>
      </c>
      <c r="I10">
        <v>5.0530729999999995</v>
      </c>
      <c r="J10">
        <v>0.5</v>
      </c>
      <c r="K10">
        <v>5.0828030000000002</v>
      </c>
      <c r="L10">
        <v>11.611732</v>
      </c>
      <c r="M10">
        <v>165.10646999999997</v>
      </c>
      <c r="N10">
        <v>138.12815700000002</v>
      </c>
      <c r="O10">
        <v>1.7437149999999999</v>
      </c>
      <c r="P10">
        <v>27.974053000000001</v>
      </c>
      <c r="Q10">
        <v>0</v>
      </c>
    </row>
    <row r="11" spans="1:17" x14ac:dyDescent="0.25">
      <c r="A11">
        <v>50948</v>
      </c>
      <c r="B11">
        <v>567.35537599999998</v>
      </c>
      <c r="C11">
        <v>0</v>
      </c>
      <c r="D11">
        <v>0</v>
      </c>
      <c r="E11">
        <v>0</v>
      </c>
      <c r="F11">
        <v>0</v>
      </c>
      <c r="G11">
        <v>0.48827399999999999</v>
      </c>
      <c r="H11">
        <v>77.078153000000015</v>
      </c>
      <c r="I11">
        <v>5.7282739999999999</v>
      </c>
      <c r="J11">
        <v>2.13</v>
      </c>
      <c r="K11">
        <v>2.5</v>
      </c>
      <c r="L11">
        <v>11.877378999999998</v>
      </c>
      <c r="M11">
        <v>0</v>
      </c>
      <c r="N11">
        <v>0</v>
      </c>
      <c r="O11">
        <v>0</v>
      </c>
      <c r="P11">
        <v>0</v>
      </c>
      <c r="Q11">
        <v>0</v>
      </c>
    </row>
    <row r="12" spans="1:17" x14ac:dyDescent="0.25">
      <c r="A12">
        <v>50963</v>
      </c>
      <c r="B12">
        <v>974.76909300000011</v>
      </c>
      <c r="C12">
        <v>198.38160999999999</v>
      </c>
      <c r="D12">
        <v>0</v>
      </c>
      <c r="E12">
        <v>1.349264</v>
      </c>
      <c r="F12">
        <v>0</v>
      </c>
      <c r="G12">
        <v>1</v>
      </c>
      <c r="H12">
        <v>226.78156799999999</v>
      </c>
      <c r="I12">
        <v>13.499998999999999</v>
      </c>
      <c r="J12">
        <v>2.2000000000000002</v>
      </c>
      <c r="K12">
        <v>2.2200000000000002</v>
      </c>
      <c r="L12">
        <v>18.456630000000001</v>
      </c>
      <c r="M12">
        <v>309.67811100000006</v>
      </c>
      <c r="N12">
        <v>151.832414</v>
      </c>
      <c r="O12">
        <v>28.834354999999999</v>
      </c>
      <c r="P12">
        <v>276.16173300000003</v>
      </c>
      <c r="Q12">
        <v>11.17539</v>
      </c>
    </row>
    <row r="13" spans="1:17" x14ac:dyDescent="0.25">
      <c r="A13">
        <v>50989</v>
      </c>
      <c r="B13">
        <v>801.387564</v>
      </c>
      <c r="C13">
        <v>122.900149</v>
      </c>
      <c r="D13">
        <v>0</v>
      </c>
      <c r="E13">
        <v>0.85440399999999994</v>
      </c>
      <c r="F13">
        <v>0.13</v>
      </c>
      <c r="G13">
        <v>0.30285699999999999</v>
      </c>
      <c r="H13">
        <v>135.930633</v>
      </c>
      <c r="I13">
        <v>8.3448360000000008</v>
      </c>
      <c r="J13">
        <v>0.5</v>
      </c>
      <c r="K13">
        <v>4.6292609999999996</v>
      </c>
      <c r="L13">
        <v>28.628235999999998</v>
      </c>
      <c r="M13">
        <v>379.81982800000003</v>
      </c>
      <c r="N13">
        <v>103.49391900000001</v>
      </c>
      <c r="O13">
        <v>45.688851999999997</v>
      </c>
      <c r="P13">
        <v>138.03783799999999</v>
      </c>
      <c r="Q13">
        <v>0</v>
      </c>
    </row>
    <row r="14" spans="1:17" x14ac:dyDescent="0.25">
      <c r="A14">
        <v>51003</v>
      </c>
      <c r="B14">
        <v>1439.049215</v>
      </c>
      <c r="C14">
        <v>333.24773599999997</v>
      </c>
      <c r="D14">
        <v>0</v>
      </c>
      <c r="E14">
        <v>30.965783999999999</v>
      </c>
      <c r="F14">
        <v>0</v>
      </c>
      <c r="G14">
        <v>1.3</v>
      </c>
      <c r="H14">
        <v>208.74644799999999</v>
      </c>
      <c r="I14">
        <v>10.659417999999999</v>
      </c>
      <c r="J14">
        <v>0</v>
      </c>
      <c r="K14">
        <v>8</v>
      </c>
      <c r="L14">
        <v>19.849564999999998</v>
      </c>
      <c r="M14">
        <v>389.68927299999996</v>
      </c>
      <c r="N14">
        <v>243.201075</v>
      </c>
      <c r="O14">
        <v>0</v>
      </c>
      <c r="P14">
        <v>471.82986499999998</v>
      </c>
      <c r="Q14">
        <v>0</v>
      </c>
    </row>
    <row r="15" spans="1:17" x14ac:dyDescent="0.25">
      <c r="A15">
        <v>51029</v>
      </c>
      <c r="B15">
        <v>744.34846500000003</v>
      </c>
      <c r="C15">
        <v>164.73816099999999</v>
      </c>
      <c r="D15">
        <v>0</v>
      </c>
      <c r="E15">
        <v>0</v>
      </c>
      <c r="F15">
        <v>0</v>
      </c>
      <c r="G15">
        <v>0</v>
      </c>
      <c r="H15">
        <v>139.526453</v>
      </c>
      <c r="I15">
        <v>2.6832560000000001</v>
      </c>
      <c r="J15">
        <v>0.96098299999999992</v>
      </c>
      <c r="K15">
        <v>3.25</v>
      </c>
      <c r="L15">
        <v>6.78721</v>
      </c>
      <c r="M15">
        <v>174.36126200000001</v>
      </c>
      <c r="N15">
        <v>147.29235999999997</v>
      </c>
      <c r="O15">
        <v>37.445405999999991</v>
      </c>
      <c r="P15">
        <v>275.88468499999999</v>
      </c>
      <c r="Q15">
        <v>0</v>
      </c>
    </row>
    <row r="16" spans="1:17" x14ac:dyDescent="0.25">
      <c r="A16">
        <v>51045</v>
      </c>
      <c r="B16">
        <v>1074.966717</v>
      </c>
      <c r="C16">
        <v>142.07381900000001</v>
      </c>
      <c r="D16">
        <v>0</v>
      </c>
      <c r="E16">
        <v>0.125</v>
      </c>
      <c r="F16">
        <v>0</v>
      </c>
      <c r="G16">
        <v>1.4642400000000002</v>
      </c>
      <c r="H16">
        <v>160.94701100000003</v>
      </c>
      <c r="I16">
        <v>14.970893999999998</v>
      </c>
      <c r="J16">
        <v>1.032732</v>
      </c>
      <c r="K16">
        <v>9.7971839999999997</v>
      </c>
      <c r="L16">
        <v>36.212077999999991</v>
      </c>
      <c r="M16">
        <v>375.39793700000001</v>
      </c>
      <c r="N16">
        <v>119.03315499999999</v>
      </c>
      <c r="O16">
        <v>26.113371999999998</v>
      </c>
      <c r="P16">
        <v>308.47607700000003</v>
      </c>
      <c r="Q16">
        <v>29.305062999999997</v>
      </c>
    </row>
    <row r="17" spans="1:17" x14ac:dyDescent="0.25">
      <c r="A17">
        <v>51060</v>
      </c>
      <c r="B17">
        <v>3857.8176170000002</v>
      </c>
      <c r="C17">
        <v>978.33029099999999</v>
      </c>
      <c r="D17">
        <v>1.034286</v>
      </c>
      <c r="E17">
        <v>51.069890999999998</v>
      </c>
      <c r="F17">
        <v>6</v>
      </c>
      <c r="G17">
        <v>5.9606440000000003</v>
      </c>
      <c r="H17">
        <v>563.14565800000003</v>
      </c>
      <c r="I17">
        <v>32.441739999999996</v>
      </c>
      <c r="J17">
        <v>-3.2239999999999999E-3</v>
      </c>
      <c r="K17">
        <v>9.7398550000000004</v>
      </c>
      <c r="L17">
        <v>46.352764999999998</v>
      </c>
      <c r="M17">
        <v>1164.452043</v>
      </c>
      <c r="N17">
        <v>586.68584099999998</v>
      </c>
      <c r="O17">
        <v>35.907071999999999</v>
      </c>
      <c r="P17">
        <v>1255.2277119999999</v>
      </c>
      <c r="Q17">
        <v>7.7416499999999999</v>
      </c>
    </row>
    <row r="18" spans="1:17" x14ac:dyDescent="0.25">
      <c r="A18">
        <v>51128</v>
      </c>
      <c r="B18">
        <v>304.56935099999998</v>
      </c>
      <c r="C18">
        <v>174.84284399999999</v>
      </c>
      <c r="D18">
        <v>0</v>
      </c>
      <c r="E18">
        <v>0</v>
      </c>
      <c r="F18">
        <v>0</v>
      </c>
      <c r="G18">
        <v>0</v>
      </c>
      <c r="H18">
        <v>59.537373000000002</v>
      </c>
      <c r="I18">
        <v>9.1340779999999988</v>
      </c>
      <c r="J18">
        <v>1</v>
      </c>
      <c r="K18">
        <v>6.87</v>
      </c>
      <c r="L18">
        <v>4.8477779999999999</v>
      </c>
      <c r="M18">
        <v>78.819361000000001</v>
      </c>
      <c r="N18">
        <v>48.190345000000001</v>
      </c>
      <c r="O18">
        <v>0</v>
      </c>
      <c r="P18">
        <v>122.861739</v>
      </c>
      <c r="Q18">
        <v>0</v>
      </c>
    </row>
    <row r="19" spans="1:17" x14ac:dyDescent="0.25">
      <c r="A19">
        <v>51144</v>
      </c>
      <c r="B19">
        <v>521.33543799999995</v>
      </c>
      <c r="C19">
        <v>113.12033</v>
      </c>
      <c r="D19">
        <v>0</v>
      </c>
      <c r="E19">
        <v>3</v>
      </c>
      <c r="F19">
        <v>0</v>
      </c>
      <c r="G19">
        <v>0</v>
      </c>
      <c r="H19">
        <v>82.070713999999995</v>
      </c>
      <c r="I19">
        <v>7.0604399999999998</v>
      </c>
      <c r="J19">
        <v>0</v>
      </c>
      <c r="K19">
        <v>1.2774729999999999</v>
      </c>
      <c r="L19">
        <v>7</v>
      </c>
      <c r="M19">
        <v>131.58318199999999</v>
      </c>
      <c r="N19">
        <v>78.679832999999988</v>
      </c>
      <c r="O19">
        <v>5.6566239999999999</v>
      </c>
      <c r="P19">
        <v>158.07276400000001</v>
      </c>
      <c r="Q19">
        <v>0</v>
      </c>
    </row>
    <row r="20" spans="1:17" x14ac:dyDescent="0.25">
      <c r="A20">
        <v>51169</v>
      </c>
      <c r="B20">
        <v>351.86403199999995</v>
      </c>
      <c r="C20">
        <v>49.722916999999995</v>
      </c>
      <c r="D20">
        <v>0</v>
      </c>
      <c r="E20">
        <v>0</v>
      </c>
      <c r="F20">
        <v>0</v>
      </c>
      <c r="G20">
        <v>0.5</v>
      </c>
      <c r="H20">
        <v>56.263888999999992</v>
      </c>
      <c r="I20">
        <v>2.5583329999999997</v>
      </c>
      <c r="J20">
        <v>0</v>
      </c>
      <c r="K20">
        <v>0</v>
      </c>
      <c r="L20">
        <v>2</v>
      </c>
      <c r="M20">
        <v>213.20086399999997</v>
      </c>
      <c r="N20">
        <v>99.217414999999988</v>
      </c>
      <c r="O20">
        <v>0</v>
      </c>
      <c r="P20">
        <v>10.731114999999999</v>
      </c>
      <c r="Q20">
        <v>0</v>
      </c>
    </row>
    <row r="21" spans="1:17" x14ac:dyDescent="0.25">
      <c r="A21">
        <v>51185</v>
      </c>
      <c r="B21">
        <v>675.87389399999995</v>
      </c>
      <c r="C21">
        <v>554.66323599999998</v>
      </c>
      <c r="D21">
        <v>0</v>
      </c>
      <c r="E21">
        <v>0</v>
      </c>
      <c r="F21">
        <v>0</v>
      </c>
      <c r="G21">
        <v>1.032921</v>
      </c>
      <c r="H21">
        <v>132.344179</v>
      </c>
      <c r="I21">
        <v>6.8539329999999996</v>
      </c>
      <c r="J21">
        <v>2.27</v>
      </c>
      <c r="K21">
        <v>10.530785999999999</v>
      </c>
      <c r="L21">
        <v>10.777359000000001</v>
      </c>
      <c r="M21">
        <v>228.51861599999998</v>
      </c>
      <c r="N21">
        <v>93.962391999999994</v>
      </c>
      <c r="O21">
        <v>10.027905999999998</v>
      </c>
      <c r="P21">
        <v>286.44325900000001</v>
      </c>
      <c r="Q21">
        <v>7.3978380000000001</v>
      </c>
    </row>
    <row r="22" spans="1:17" x14ac:dyDescent="0.25">
      <c r="A22">
        <v>51201</v>
      </c>
      <c r="B22">
        <v>879.9118729999999</v>
      </c>
      <c r="C22">
        <v>158.65457000000001</v>
      </c>
      <c r="D22">
        <v>0</v>
      </c>
      <c r="E22">
        <v>5.3706209999999999</v>
      </c>
      <c r="F22">
        <v>4</v>
      </c>
      <c r="G22">
        <v>0.90593200000000007</v>
      </c>
      <c r="H22">
        <v>114.33694100000001</v>
      </c>
      <c r="I22">
        <v>10.079886999999999</v>
      </c>
      <c r="J22">
        <v>0</v>
      </c>
      <c r="K22">
        <v>2.850816</v>
      </c>
      <c r="L22">
        <v>7.7709259999999993</v>
      </c>
      <c r="M22">
        <v>234.536846</v>
      </c>
      <c r="N22">
        <v>99.181367000000009</v>
      </c>
      <c r="O22">
        <v>0</v>
      </c>
      <c r="P22">
        <v>278.21588700000001</v>
      </c>
      <c r="Q22">
        <v>2.1999960000000001</v>
      </c>
    </row>
    <row r="23" spans="1:17" x14ac:dyDescent="0.25">
      <c r="A23">
        <v>51227</v>
      </c>
      <c r="B23">
        <v>1187.695367</v>
      </c>
      <c r="C23">
        <v>341.61028599999997</v>
      </c>
      <c r="D23">
        <v>0</v>
      </c>
      <c r="E23">
        <v>0</v>
      </c>
      <c r="F23">
        <v>0</v>
      </c>
      <c r="G23">
        <v>0</v>
      </c>
      <c r="H23">
        <v>249.273248</v>
      </c>
      <c r="I23">
        <v>11.079863</v>
      </c>
      <c r="J23">
        <v>0</v>
      </c>
      <c r="K23">
        <v>5</v>
      </c>
      <c r="L23">
        <v>37.107402</v>
      </c>
      <c r="M23">
        <v>176.91530699999998</v>
      </c>
      <c r="N23">
        <v>110.646041</v>
      </c>
      <c r="O23">
        <v>182.38435399999997</v>
      </c>
      <c r="P23">
        <v>514.196369</v>
      </c>
      <c r="Q23">
        <v>0</v>
      </c>
    </row>
    <row r="24" spans="1:17" x14ac:dyDescent="0.25">
      <c r="A24">
        <v>51243</v>
      </c>
      <c r="B24">
        <v>758.339519</v>
      </c>
      <c r="C24">
        <v>294.85028499999999</v>
      </c>
      <c r="D24">
        <v>0</v>
      </c>
      <c r="E24">
        <v>0</v>
      </c>
      <c r="F24">
        <v>0</v>
      </c>
      <c r="G24">
        <v>1</v>
      </c>
      <c r="H24">
        <v>165.24870800000002</v>
      </c>
      <c r="I24">
        <v>10.128188</v>
      </c>
      <c r="J24">
        <v>2</v>
      </c>
      <c r="K24">
        <v>1</v>
      </c>
      <c r="L24">
        <v>20.155425000000001</v>
      </c>
      <c r="M24">
        <v>171.045322</v>
      </c>
      <c r="N24">
        <v>138.04687200000001</v>
      </c>
      <c r="O24">
        <v>9.1115709999999996</v>
      </c>
      <c r="P24">
        <v>250.678045</v>
      </c>
      <c r="Q24">
        <v>0</v>
      </c>
    </row>
    <row r="25" spans="1:17" x14ac:dyDescent="0.25">
      <c r="A25">
        <v>51284</v>
      </c>
      <c r="B25">
        <v>2008.5053339999999</v>
      </c>
      <c r="C25">
        <v>291.69503099999997</v>
      </c>
      <c r="D25">
        <v>0</v>
      </c>
      <c r="E25">
        <v>5.1205940000000005</v>
      </c>
      <c r="F25">
        <v>0</v>
      </c>
      <c r="G25">
        <v>2.7185199999999998</v>
      </c>
      <c r="H25">
        <v>257.05177000000003</v>
      </c>
      <c r="I25">
        <v>10.512172999999999</v>
      </c>
      <c r="J25">
        <v>2.14</v>
      </c>
      <c r="K25">
        <v>4.29</v>
      </c>
      <c r="L25">
        <v>23.573354999999999</v>
      </c>
      <c r="M25">
        <v>739.91852600000004</v>
      </c>
      <c r="N25">
        <v>292.974987</v>
      </c>
      <c r="O25">
        <v>17.006739</v>
      </c>
      <c r="P25">
        <v>606.86574199999995</v>
      </c>
      <c r="Q25">
        <v>0</v>
      </c>
    </row>
    <row r="26" spans="1:17" x14ac:dyDescent="0.25">
      <c r="A26">
        <v>51300</v>
      </c>
      <c r="B26">
        <v>1033.2718789999999</v>
      </c>
      <c r="C26">
        <v>289.95799</v>
      </c>
      <c r="D26">
        <v>0</v>
      </c>
      <c r="E26">
        <v>0</v>
      </c>
      <c r="F26">
        <v>0</v>
      </c>
      <c r="G26">
        <v>0.14000000000000001</v>
      </c>
      <c r="H26">
        <v>183.37668199999999</v>
      </c>
      <c r="I26">
        <v>2.275172</v>
      </c>
      <c r="J26">
        <v>0</v>
      </c>
      <c r="K26">
        <v>3</v>
      </c>
      <c r="L26">
        <v>18</v>
      </c>
      <c r="M26">
        <v>332.44414399999999</v>
      </c>
      <c r="N26">
        <v>128.539492</v>
      </c>
      <c r="O26">
        <v>25.088193999999998</v>
      </c>
      <c r="P26">
        <v>345.94362999999998</v>
      </c>
      <c r="Q26">
        <v>0</v>
      </c>
    </row>
    <row r="27" spans="1:17" x14ac:dyDescent="0.25">
      <c r="A27">
        <v>51334</v>
      </c>
      <c r="B27">
        <v>939.48655400000007</v>
      </c>
      <c r="C27">
        <v>140.230852</v>
      </c>
      <c r="D27">
        <v>0</v>
      </c>
      <c r="E27">
        <v>1.13137</v>
      </c>
      <c r="F27">
        <v>0</v>
      </c>
      <c r="G27">
        <v>0.46</v>
      </c>
      <c r="H27">
        <v>147.34865499999998</v>
      </c>
      <c r="I27">
        <v>6.1842969999999999</v>
      </c>
      <c r="J27">
        <v>0</v>
      </c>
      <c r="K27">
        <v>1.4911949999999998</v>
      </c>
      <c r="L27">
        <v>9.9035930000000008</v>
      </c>
      <c r="M27">
        <v>307.01072399999993</v>
      </c>
      <c r="N27">
        <v>153.81414799999999</v>
      </c>
      <c r="O27">
        <v>32.438531999999995</v>
      </c>
      <c r="P27">
        <v>179.71729099999999</v>
      </c>
      <c r="Q27">
        <v>8.6461509999999997</v>
      </c>
    </row>
    <row r="28" spans="1:17" x14ac:dyDescent="0.25">
      <c r="A28">
        <v>51359</v>
      </c>
      <c r="B28">
        <v>2076.3756399999997</v>
      </c>
      <c r="C28">
        <v>528.99229999999989</v>
      </c>
      <c r="D28">
        <v>0</v>
      </c>
      <c r="E28">
        <v>0</v>
      </c>
      <c r="F28">
        <v>0</v>
      </c>
      <c r="G28">
        <v>1.124749</v>
      </c>
      <c r="H28">
        <v>401.98085899999995</v>
      </c>
      <c r="I28">
        <v>20.730295999999999</v>
      </c>
      <c r="J28">
        <v>6.3996630000000003</v>
      </c>
      <c r="K28">
        <v>10.029999999999999</v>
      </c>
      <c r="L28">
        <v>39.544292999999996</v>
      </c>
      <c r="M28">
        <v>628.29837899999995</v>
      </c>
      <c r="N28">
        <v>313.96712500000001</v>
      </c>
      <c r="O28">
        <v>125.74374</v>
      </c>
      <c r="P28">
        <v>634.77205500000002</v>
      </c>
      <c r="Q28">
        <v>95.564043999999996</v>
      </c>
    </row>
    <row r="29" spans="1:17" x14ac:dyDescent="0.25">
      <c r="A29">
        <v>51375</v>
      </c>
      <c r="B29">
        <v>447.41397699999993</v>
      </c>
      <c r="C29">
        <v>443.31225299999994</v>
      </c>
      <c r="D29">
        <v>0</v>
      </c>
      <c r="E29">
        <v>0</v>
      </c>
      <c r="F29">
        <v>0</v>
      </c>
      <c r="G29">
        <v>1.0047699999999999</v>
      </c>
      <c r="H29">
        <v>112.10032999999999</v>
      </c>
      <c r="I29">
        <v>3</v>
      </c>
      <c r="J29">
        <v>0.13068199999999999</v>
      </c>
      <c r="K29">
        <v>11.560941</v>
      </c>
      <c r="L29">
        <v>10.666590999999999</v>
      </c>
      <c r="M29">
        <v>158.68368699999999</v>
      </c>
      <c r="N29">
        <v>31.068179000000001</v>
      </c>
      <c r="O29">
        <v>5.1424969999999997</v>
      </c>
      <c r="P29">
        <v>144.245779</v>
      </c>
      <c r="Q29">
        <v>0</v>
      </c>
    </row>
    <row r="30" spans="1:17" x14ac:dyDescent="0.25">
      <c r="A30">
        <v>51391</v>
      </c>
      <c r="B30">
        <v>675.904988</v>
      </c>
      <c r="C30">
        <v>204.342804</v>
      </c>
      <c r="D30">
        <v>0</v>
      </c>
      <c r="E30">
        <v>0</v>
      </c>
      <c r="F30">
        <v>0</v>
      </c>
      <c r="G30">
        <v>0</v>
      </c>
      <c r="H30">
        <v>152.59907399999997</v>
      </c>
      <c r="I30">
        <v>9.4234829999999992</v>
      </c>
      <c r="J30">
        <v>0.5</v>
      </c>
      <c r="K30">
        <v>1.5</v>
      </c>
      <c r="L30">
        <v>13.211347999999999</v>
      </c>
      <c r="M30">
        <v>163.06039699999999</v>
      </c>
      <c r="N30">
        <v>150.135006</v>
      </c>
      <c r="O30">
        <v>0</v>
      </c>
      <c r="P30">
        <v>142.60594</v>
      </c>
      <c r="Q30">
        <v>0</v>
      </c>
    </row>
    <row r="31" spans="1:17" x14ac:dyDescent="0.25">
      <c r="A31">
        <v>51417</v>
      </c>
      <c r="B31">
        <v>1278.339066</v>
      </c>
      <c r="C31">
        <v>341.05218300000001</v>
      </c>
      <c r="D31">
        <v>0</v>
      </c>
      <c r="E31">
        <v>0</v>
      </c>
      <c r="F31">
        <v>0</v>
      </c>
      <c r="G31">
        <v>0.92272399999999999</v>
      </c>
      <c r="H31">
        <v>213.71764199999998</v>
      </c>
      <c r="I31">
        <v>11.785926999999999</v>
      </c>
      <c r="J31">
        <v>0.109167</v>
      </c>
      <c r="K31">
        <v>13.54158</v>
      </c>
      <c r="L31">
        <v>22.696921</v>
      </c>
      <c r="M31">
        <v>337.64755500000001</v>
      </c>
      <c r="N31">
        <v>190.34657399999998</v>
      </c>
      <c r="O31">
        <v>2.986145</v>
      </c>
      <c r="P31">
        <v>386.07319799999999</v>
      </c>
      <c r="Q31">
        <v>41.109358999999998</v>
      </c>
    </row>
    <row r="32" spans="1:17" x14ac:dyDescent="0.25">
      <c r="A32">
        <v>51433</v>
      </c>
      <c r="B32">
        <v>969.97938600000009</v>
      </c>
      <c r="C32">
        <v>504.77235899999994</v>
      </c>
      <c r="D32">
        <v>0</v>
      </c>
      <c r="E32">
        <v>1</v>
      </c>
      <c r="F32">
        <v>0</v>
      </c>
      <c r="G32">
        <v>1.128539</v>
      </c>
      <c r="H32">
        <v>132.25564299999999</v>
      </c>
      <c r="I32">
        <v>6.3767610000000001</v>
      </c>
      <c r="J32">
        <v>0.34595500000000001</v>
      </c>
      <c r="K32">
        <v>13.180561000000001</v>
      </c>
      <c r="L32">
        <v>22.013186999999999</v>
      </c>
      <c r="M32">
        <v>329.43609999999995</v>
      </c>
      <c r="N32">
        <v>153.04413099999999</v>
      </c>
      <c r="O32">
        <v>23.329795999999998</v>
      </c>
      <c r="P32">
        <v>225.427964</v>
      </c>
      <c r="Q32">
        <v>16.908815999999998</v>
      </c>
    </row>
    <row r="33" spans="1:17" x14ac:dyDescent="0.25">
      <c r="A33">
        <v>51458</v>
      </c>
      <c r="B33">
        <v>667.06483200000002</v>
      </c>
      <c r="C33">
        <v>137.35610600000001</v>
      </c>
      <c r="D33">
        <v>0</v>
      </c>
      <c r="E33">
        <v>1</v>
      </c>
      <c r="F33">
        <v>0</v>
      </c>
      <c r="G33">
        <v>2.8463779999999996</v>
      </c>
      <c r="H33">
        <v>87.004671999999999</v>
      </c>
      <c r="I33">
        <v>4.1781740000000003</v>
      </c>
      <c r="J33">
        <v>0.41452699999999998</v>
      </c>
      <c r="K33">
        <v>1.62</v>
      </c>
      <c r="L33">
        <v>11.785069999999997</v>
      </c>
      <c r="M33">
        <v>316.60332399999999</v>
      </c>
      <c r="N33">
        <v>158.73933</v>
      </c>
      <c r="O33">
        <v>22.702437</v>
      </c>
      <c r="P33">
        <v>94.772154999999998</v>
      </c>
      <c r="Q33">
        <v>2.5625290000000001</v>
      </c>
    </row>
    <row r="34" spans="1:17" x14ac:dyDescent="0.25">
      <c r="A34">
        <v>51474</v>
      </c>
      <c r="B34">
        <v>1133.422284</v>
      </c>
      <c r="C34">
        <v>66.908524</v>
      </c>
      <c r="D34">
        <v>0</v>
      </c>
      <c r="E34">
        <v>5.004677</v>
      </c>
      <c r="F34">
        <v>0</v>
      </c>
      <c r="G34">
        <v>1.4583059999999999</v>
      </c>
      <c r="H34">
        <v>149.55615899999998</v>
      </c>
      <c r="I34">
        <v>8.1081140000000005</v>
      </c>
      <c r="J34">
        <v>2.7661699999999998</v>
      </c>
      <c r="K34">
        <v>2.42</v>
      </c>
      <c r="L34">
        <v>25.180177999999998</v>
      </c>
      <c r="M34">
        <v>415.29869699999995</v>
      </c>
      <c r="N34">
        <v>116.054818</v>
      </c>
      <c r="O34">
        <v>0</v>
      </c>
      <c r="P34">
        <v>245.78970200000001</v>
      </c>
      <c r="Q34">
        <v>16.866880999999999</v>
      </c>
    </row>
    <row r="35" spans="1:17" x14ac:dyDescent="0.25">
      <c r="A35">
        <v>51490</v>
      </c>
      <c r="B35">
        <v>584.65274499999998</v>
      </c>
      <c r="C35">
        <v>457.723071</v>
      </c>
      <c r="D35">
        <v>0</v>
      </c>
      <c r="E35">
        <v>0</v>
      </c>
      <c r="F35">
        <v>0</v>
      </c>
      <c r="G35">
        <v>1.261109</v>
      </c>
      <c r="H35">
        <v>124.19119499999999</v>
      </c>
      <c r="I35">
        <v>1.6756610000000001</v>
      </c>
      <c r="J35">
        <v>0.28000000000000003</v>
      </c>
      <c r="K35">
        <v>4.924544</v>
      </c>
      <c r="L35">
        <v>7.2998989999999999</v>
      </c>
      <c r="M35">
        <v>143.208045</v>
      </c>
      <c r="N35">
        <v>33.399856</v>
      </c>
      <c r="O35">
        <v>0</v>
      </c>
      <c r="P35">
        <v>5.6349640000000001</v>
      </c>
      <c r="Q35">
        <v>0</v>
      </c>
    </row>
    <row r="36" spans="1:17" x14ac:dyDescent="0.25">
      <c r="A36">
        <v>51532</v>
      </c>
      <c r="B36">
        <v>665.88410400000009</v>
      </c>
      <c r="C36">
        <v>168.793578</v>
      </c>
      <c r="D36">
        <v>0</v>
      </c>
      <c r="E36">
        <v>17.094971999999999</v>
      </c>
      <c r="F36">
        <v>0</v>
      </c>
      <c r="G36">
        <v>1</v>
      </c>
      <c r="H36">
        <v>115.13213699999999</v>
      </c>
      <c r="I36">
        <v>1.829167</v>
      </c>
      <c r="J36">
        <v>2.5</v>
      </c>
      <c r="K36">
        <v>8.1921789999999994</v>
      </c>
      <c r="L36">
        <v>4.9137430000000002</v>
      </c>
      <c r="M36">
        <v>170.79974899999999</v>
      </c>
      <c r="N36">
        <v>89.437893000000003</v>
      </c>
      <c r="O36">
        <v>4.097556</v>
      </c>
      <c r="P36">
        <v>220.530013</v>
      </c>
      <c r="Q36">
        <v>0</v>
      </c>
    </row>
    <row r="37" spans="1:17" x14ac:dyDescent="0.25">
      <c r="A37">
        <v>51607</v>
      </c>
      <c r="B37">
        <v>523.76502099999993</v>
      </c>
      <c r="C37">
        <v>523.76502099999993</v>
      </c>
      <c r="D37">
        <v>0</v>
      </c>
      <c r="E37">
        <v>0</v>
      </c>
      <c r="F37">
        <v>0</v>
      </c>
      <c r="G37">
        <v>0</v>
      </c>
      <c r="H37">
        <v>101.763628</v>
      </c>
      <c r="I37">
        <v>4.8444940000000001</v>
      </c>
      <c r="J37">
        <v>0</v>
      </c>
      <c r="K37">
        <v>6</v>
      </c>
      <c r="L37">
        <v>7.1324890000000005</v>
      </c>
      <c r="M37">
        <v>155.70104599999999</v>
      </c>
      <c r="N37">
        <v>101.98146799999999</v>
      </c>
      <c r="O37">
        <v>0</v>
      </c>
      <c r="P37">
        <v>211.60600999999997</v>
      </c>
      <c r="Q37">
        <v>0</v>
      </c>
    </row>
    <row r="38" spans="1:17" x14ac:dyDescent="0.25">
      <c r="A38">
        <v>51631</v>
      </c>
      <c r="B38">
        <v>886.17244299999993</v>
      </c>
      <c r="C38">
        <v>327.97733699999998</v>
      </c>
      <c r="D38">
        <v>0</v>
      </c>
      <c r="E38">
        <v>0</v>
      </c>
      <c r="F38">
        <v>0</v>
      </c>
      <c r="G38">
        <v>1</v>
      </c>
      <c r="H38">
        <v>193.31731500000001</v>
      </c>
      <c r="I38">
        <v>20.323034</v>
      </c>
      <c r="J38">
        <v>1</v>
      </c>
      <c r="K38">
        <v>11</v>
      </c>
      <c r="L38">
        <v>23.657302999999999</v>
      </c>
      <c r="M38">
        <v>250.011912</v>
      </c>
      <c r="N38">
        <v>132.14100099999999</v>
      </c>
      <c r="O38">
        <v>0</v>
      </c>
      <c r="P38">
        <v>389.64224899999999</v>
      </c>
      <c r="Q38">
        <v>0</v>
      </c>
    </row>
    <row r="39" spans="1:17" x14ac:dyDescent="0.25">
      <c r="A39">
        <v>51656</v>
      </c>
      <c r="B39">
        <v>940.19137599999999</v>
      </c>
      <c r="C39">
        <v>209.391051</v>
      </c>
      <c r="D39">
        <v>0</v>
      </c>
      <c r="E39">
        <v>12.5</v>
      </c>
      <c r="F39">
        <v>1</v>
      </c>
      <c r="G39">
        <v>1</v>
      </c>
      <c r="H39">
        <v>208.42997000000003</v>
      </c>
      <c r="I39">
        <v>6.139869</v>
      </c>
      <c r="J39">
        <v>0</v>
      </c>
      <c r="K39">
        <v>9.0502789999999997</v>
      </c>
      <c r="L39">
        <v>17.223649000000002</v>
      </c>
      <c r="M39">
        <v>295.82620599999996</v>
      </c>
      <c r="N39">
        <v>125.698525</v>
      </c>
      <c r="O39">
        <v>12.015202</v>
      </c>
      <c r="P39">
        <v>243.28768700000001</v>
      </c>
      <c r="Q39">
        <v>5.6710329999999995</v>
      </c>
    </row>
    <row r="40" spans="1:17" x14ac:dyDescent="0.25">
      <c r="A40">
        <v>51672</v>
      </c>
      <c r="B40">
        <v>543.30906000000004</v>
      </c>
      <c r="C40">
        <v>146.74698599999999</v>
      </c>
      <c r="D40">
        <v>0</v>
      </c>
      <c r="E40">
        <v>0</v>
      </c>
      <c r="F40">
        <v>0</v>
      </c>
      <c r="G40">
        <v>1</v>
      </c>
      <c r="H40">
        <v>86.167743000000002</v>
      </c>
      <c r="I40">
        <v>3.5</v>
      </c>
      <c r="J40">
        <v>0</v>
      </c>
      <c r="K40">
        <v>4.1376150000000003</v>
      </c>
      <c r="L40">
        <v>6.2752300000000005</v>
      </c>
      <c r="M40">
        <v>180.24433199999999</v>
      </c>
      <c r="N40">
        <v>62.687044</v>
      </c>
      <c r="O40">
        <v>0</v>
      </c>
      <c r="P40">
        <v>220.27655499999997</v>
      </c>
      <c r="Q40">
        <v>4.8231169999999999</v>
      </c>
    </row>
    <row r="41" spans="1:17" x14ac:dyDescent="0.25">
      <c r="A41">
        <v>51698</v>
      </c>
      <c r="B41">
        <v>483.76264099999997</v>
      </c>
      <c r="C41">
        <v>138.53430900000001</v>
      </c>
      <c r="D41">
        <v>0</v>
      </c>
      <c r="E41">
        <v>0</v>
      </c>
      <c r="F41">
        <v>0</v>
      </c>
      <c r="G41">
        <v>0</v>
      </c>
      <c r="H41">
        <v>96.040737000000007</v>
      </c>
      <c r="I41">
        <v>3</v>
      </c>
      <c r="J41">
        <v>1.5</v>
      </c>
      <c r="K41">
        <v>1</v>
      </c>
      <c r="L41">
        <v>4.0195530000000002</v>
      </c>
      <c r="M41">
        <v>172.003086</v>
      </c>
      <c r="N41">
        <v>55.076900999999992</v>
      </c>
      <c r="O41">
        <v>0</v>
      </c>
      <c r="P41">
        <v>138.29854599999999</v>
      </c>
      <c r="Q41">
        <v>0</v>
      </c>
    </row>
    <row r="42" spans="1:17" x14ac:dyDescent="0.25">
      <c r="A42">
        <v>51714</v>
      </c>
      <c r="B42">
        <v>716.68451500000003</v>
      </c>
      <c r="C42">
        <v>230.52830099999997</v>
      </c>
      <c r="D42">
        <v>0</v>
      </c>
      <c r="E42">
        <v>5</v>
      </c>
      <c r="F42">
        <v>0</v>
      </c>
      <c r="G42">
        <v>0</v>
      </c>
      <c r="H42">
        <v>140.48456999999999</v>
      </c>
      <c r="I42">
        <v>10.686800999999999</v>
      </c>
      <c r="J42">
        <v>1</v>
      </c>
      <c r="K42">
        <v>3.2178769999999997</v>
      </c>
      <c r="L42">
        <v>15.487318000000002</v>
      </c>
      <c r="M42">
        <v>210.092647</v>
      </c>
      <c r="N42">
        <v>96.535695000000004</v>
      </c>
      <c r="O42">
        <v>0</v>
      </c>
      <c r="P42">
        <v>217.08065399999998</v>
      </c>
      <c r="Q42">
        <v>0</v>
      </c>
    </row>
    <row r="43" spans="1:17" x14ac:dyDescent="0.25">
      <c r="A43">
        <v>62026</v>
      </c>
      <c r="B43">
        <v>658.68863799999997</v>
      </c>
      <c r="C43">
        <v>183.33035100000004</v>
      </c>
      <c r="D43">
        <v>0</v>
      </c>
      <c r="E43">
        <v>0</v>
      </c>
      <c r="F43">
        <v>0</v>
      </c>
      <c r="G43">
        <v>0</v>
      </c>
      <c r="H43">
        <v>128.35671199999999</v>
      </c>
      <c r="I43">
        <v>7.7784089999999999</v>
      </c>
      <c r="J43">
        <v>0</v>
      </c>
      <c r="K43">
        <v>2.0284089999999999</v>
      </c>
      <c r="L43">
        <v>5.1477269999999997</v>
      </c>
      <c r="M43">
        <v>152.06850900000001</v>
      </c>
      <c r="N43">
        <v>91.529084999999995</v>
      </c>
      <c r="O43">
        <v>9.3333329999999997</v>
      </c>
      <c r="P43">
        <v>166.785574</v>
      </c>
      <c r="Q43">
        <v>0</v>
      </c>
    </row>
    <row r="44" spans="1:17" x14ac:dyDescent="0.25">
      <c r="A44">
        <v>62042</v>
      </c>
      <c r="B44">
        <v>446.42226699999998</v>
      </c>
      <c r="C44">
        <v>99.324607999999998</v>
      </c>
      <c r="D44">
        <v>0</v>
      </c>
      <c r="E44">
        <v>0</v>
      </c>
      <c r="F44">
        <v>0</v>
      </c>
      <c r="G44">
        <v>0</v>
      </c>
      <c r="H44">
        <v>99.447973999999988</v>
      </c>
      <c r="I44">
        <v>1.2359549999999999</v>
      </c>
      <c r="J44">
        <v>2</v>
      </c>
      <c r="K44">
        <v>0.12753899999999999</v>
      </c>
      <c r="L44">
        <v>3.9711559999999997</v>
      </c>
      <c r="M44">
        <v>114.864873</v>
      </c>
      <c r="N44">
        <v>76.495564000000002</v>
      </c>
      <c r="O44">
        <v>5.9773829999999997</v>
      </c>
      <c r="P44">
        <v>134.58932000000001</v>
      </c>
      <c r="Q44">
        <v>0</v>
      </c>
    </row>
    <row r="45" spans="1:17" x14ac:dyDescent="0.25">
      <c r="A45">
        <v>62067</v>
      </c>
      <c r="B45">
        <v>617.88153899999998</v>
      </c>
      <c r="C45">
        <v>597.1354</v>
      </c>
      <c r="D45">
        <v>0</v>
      </c>
      <c r="E45">
        <v>0</v>
      </c>
      <c r="F45">
        <v>0</v>
      </c>
      <c r="G45">
        <v>0.97209299999999998</v>
      </c>
      <c r="H45">
        <v>85.276079999999993</v>
      </c>
      <c r="I45">
        <v>5.4382869999999999</v>
      </c>
      <c r="J45">
        <v>0.26</v>
      </c>
      <c r="K45">
        <v>18.616990000000001</v>
      </c>
      <c r="L45">
        <v>17.753415</v>
      </c>
      <c r="M45">
        <v>202.42195099999998</v>
      </c>
      <c r="N45">
        <v>81.128386999999989</v>
      </c>
      <c r="O45">
        <v>1.96899</v>
      </c>
      <c r="P45">
        <v>64.131390999999994</v>
      </c>
      <c r="Q45">
        <v>0</v>
      </c>
    </row>
    <row r="46" spans="1:17" x14ac:dyDescent="0.25">
      <c r="A46">
        <v>62125</v>
      </c>
      <c r="B46">
        <v>1383.426387</v>
      </c>
      <c r="C46">
        <v>323.95529799999997</v>
      </c>
      <c r="D46">
        <v>0.14000000000000001</v>
      </c>
      <c r="E46">
        <v>0</v>
      </c>
      <c r="F46">
        <v>0</v>
      </c>
      <c r="G46">
        <v>0.170816</v>
      </c>
      <c r="H46">
        <v>214.15609099999998</v>
      </c>
      <c r="I46">
        <v>5.9770909999999997</v>
      </c>
      <c r="J46">
        <v>0.53</v>
      </c>
      <c r="K46">
        <v>15.02</v>
      </c>
      <c r="L46">
        <v>21.732367</v>
      </c>
      <c r="M46">
        <v>459.63007499999998</v>
      </c>
      <c r="N46">
        <v>134.773065</v>
      </c>
      <c r="O46">
        <v>37.219105999999996</v>
      </c>
      <c r="P46">
        <v>348.88448500000004</v>
      </c>
      <c r="Q46">
        <v>75.609092999999987</v>
      </c>
    </row>
    <row r="47" spans="1:17" x14ac:dyDescent="0.25">
      <c r="A47">
        <v>62802</v>
      </c>
      <c r="B47">
        <v>414.06575099999998</v>
      </c>
      <c r="C47">
        <v>107.60821899999999</v>
      </c>
      <c r="D47">
        <v>0</v>
      </c>
      <c r="E47">
        <v>0</v>
      </c>
      <c r="F47">
        <v>0</v>
      </c>
      <c r="G47">
        <v>1.4256349999999998</v>
      </c>
      <c r="H47">
        <v>76.836636999999996</v>
      </c>
      <c r="I47">
        <v>4.1721589999999997</v>
      </c>
      <c r="J47">
        <v>1.092093</v>
      </c>
      <c r="K47">
        <v>0.65</v>
      </c>
      <c r="L47">
        <v>5.0363639999999998</v>
      </c>
      <c r="M47">
        <v>113.36482799999999</v>
      </c>
      <c r="N47">
        <v>51.425435999999991</v>
      </c>
      <c r="O47">
        <v>0</v>
      </c>
      <c r="P47">
        <v>108.03846799999999</v>
      </c>
      <c r="Q47">
        <v>0</v>
      </c>
    </row>
    <row r="48" spans="1:17" x14ac:dyDescent="0.25">
      <c r="A48">
        <v>63495</v>
      </c>
      <c r="B48">
        <v>369.28954199999998</v>
      </c>
      <c r="C48">
        <v>97.357381000000004</v>
      </c>
      <c r="D48">
        <v>0</v>
      </c>
      <c r="E48">
        <v>0</v>
      </c>
      <c r="F48">
        <v>0</v>
      </c>
      <c r="G48">
        <v>0</v>
      </c>
      <c r="H48">
        <v>38.086905999999999</v>
      </c>
      <c r="I48">
        <v>1.4</v>
      </c>
      <c r="J48">
        <v>0</v>
      </c>
      <c r="K48">
        <v>1</v>
      </c>
      <c r="L48">
        <v>4.4000000000000004</v>
      </c>
      <c r="M48">
        <v>93.767128</v>
      </c>
      <c r="N48">
        <v>123.61693099999999</v>
      </c>
      <c r="O48">
        <v>0</v>
      </c>
      <c r="P48">
        <v>0</v>
      </c>
      <c r="Q48">
        <v>0</v>
      </c>
    </row>
    <row r="49" spans="1:17" x14ac:dyDescent="0.25">
      <c r="A49">
        <v>63511</v>
      </c>
      <c r="B49">
        <v>823.8875109999999</v>
      </c>
      <c r="C49">
        <v>96.113631999999996</v>
      </c>
      <c r="D49">
        <v>0</v>
      </c>
      <c r="E49">
        <v>19.428144</v>
      </c>
      <c r="F49">
        <v>0</v>
      </c>
      <c r="G49">
        <v>1.1258159999999999</v>
      </c>
      <c r="H49">
        <v>156.39192600000001</v>
      </c>
      <c r="I49">
        <v>9.2035529999999994</v>
      </c>
      <c r="J49">
        <v>0</v>
      </c>
      <c r="K49">
        <v>1.5655969999999999</v>
      </c>
      <c r="L49">
        <v>30.629807</v>
      </c>
      <c r="M49">
        <v>249.08528699999999</v>
      </c>
      <c r="N49">
        <v>157.43716699999999</v>
      </c>
      <c r="O49">
        <v>5.4901840000000002</v>
      </c>
      <c r="P49">
        <v>239.24102299999998</v>
      </c>
      <c r="Q49">
        <v>0</v>
      </c>
    </row>
    <row r="50" spans="1:17" x14ac:dyDescent="0.25">
      <c r="A50">
        <v>65227</v>
      </c>
      <c r="B50">
        <v>226.24888800000002</v>
      </c>
      <c r="C50">
        <v>97.552200999999997</v>
      </c>
      <c r="D50">
        <v>0.5</v>
      </c>
      <c r="E50">
        <v>0</v>
      </c>
      <c r="F50">
        <v>0</v>
      </c>
      <c r="G50">
        <v>0</v>
      </c>
      <c r="H50">
        <v>51.233470999999994</v>
      </c>
      <c r="I50">
        <v>1.046243</v>
      </c>
      <c r="J50">
        <v>0.5</v>
      </c>
      <c r="K50">
        <v>5</v>
      </c>
      <c r="L50">
        <v>8</v>
      </c>
      <c r="M50">
        <v>68.714804000000001</v>
      </c>
      <c r="N50">
        <v>28.338372999999997</v>
      </c>
      <c r="O50">
        <v>0</v>
      </c>
      <c r="P50">
        <v>65.504954999999995</v>
      </c>
      <c r="Q50">
        <v>0</v>
      </c>
    </row>
    <row r="51" spans="1:17" x14ac:dyDescent="0.25">
      <c r="A51">
        <v>65268</v>
      </c>
      <c r="B51">
        <v>545.74544400000002</v>
      </c>
      <c r="C51">
        <v>139.78444299999998</v>
      </c>
      <c r="D51">
        <v>0</v>
      </c>
      <c r="E51">
        <v>0</v>
      </c>
      <c r="F51">
        <v>0</v>
      </c>
      <c r="G51">
        <v>0</v>
      </c>
      <c r="H51">
        <v>109.55599799999999</v>
      </c>
      <c r="I51">
        <v>5</v>
      </c>
      <c r="J51">
        <v>0</v>
      </c>
      <c r="K51">
        <v>5.73</v>
      </c>
      <c r="L51">
        <v>11.920000000000002</v>
      </c>
      <c r="M51">
        <v>166.67386199999999</v>
      </c>
      <c r="N51">
        <v>82.733219999999989</v>
      </c>
      <c r="O51">
        <v>0</v>
      </c>
      <c r="P51">
        <v>174.34580099999999</v>
      </c>
      <c r="Q51">
        <v>0</v>
      </c>
    </row>
    <row r="52" spans="1:17" x14ac:dyDescent="0.25">
      <c r="A52" t="s">
        <v>16</v>
      </c>
      <c r="B52">
        <f>SUM(B4:B51)</f>
        <v>43439.348918000011</v>
      </c>
      <c r="C52">
        <v>12667.624478000003</v>
      </c>
      <c r="D52">
        <v>7.6614509999999996</v>
      </c>
      <c r="E52">
        <v>223.77223799999999</v>
      </c>
      <c r="F52">
        <v>25.393325999999998</v>
      </c>
      <c r="G52">
        <v>43.657828000000002</v>
      </c>
      <c r="H52">
        <v>7218.3427329999977</v>
      </c>
      <c r="I52">
        <v>386.83291999999994</v>
      </c>
      <c r="J52">
        <v>39.170963999999998</v>
      </c>
      <c r="K52">
        <v>263.98416900000007</v>
      </c>
      <c r="L52">
        <v>765.88921399999958</v>
      </c>
      <c r="M52">
        <v>13367.227618000001</v>
      </c>
      <c r="N52">
        <v>6528.2233459999989</v>
      </c>
      <c r="O52">
        <v>879.2560440000002</v>
      </c>
      <c r="P52">
        <v>11862.540525</v>
      </c>
      <c r="Q52">
        <v>492.90668199999993</v>
      </c>
    </row>
    <row r="53" spans="1:17" x14ac:dyDescent="0.25">
      <c r="A53">
        <v>62109</v>
      </c>
      <c r="B53">
        <v>1047.779724</v>
      </c>
    </row>
    <row r="54" spans="1:17" x14ac:dyDescent="0.25">
      <c r="B54" s="6">
        <f>B52+B53</f>
        <v>44487.128642000011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44DB1-E354-4FFE-B334-A8634F57676B}">
  <dimension ref="A1:AD53"/>
  <sheetViews>
    <sheetView workbookViewId="0">
      <pane xSplit="3" ySplit="3" topLeftCell="D4" activePane="bottomRight" state="frozen"/>
      <selection pane="topRight" activeCell="D1" sqref="D1"/>
      <selection pane="bottomLeft" activeCell="A4" sqref="A4"/>
      <selection pane="bottomRight" activeCell="T5" sqref="T5"/>
    </sheetView>
  </sheetViews>
  <sheetFormatPr defaultRowHeight="15" x14ac:dyDescent="0.25"/>
  <cols>
    <col min="1" max="1" width="7.5703125" bestFit="1" customWidth="1"/>
    <col min="2" max="2" width="46" bestFit="1" customWidth="1"/>
    <col min="3" max="3" width="12.42578125" bestFit="1" customWidth="1"/>
    <col min="5" max="5" width="11.5703125" bestFit="1" customWidth="1"/>
    <col min="6" max="6" width="12.5703125" bestFit="1" customWidth="1"/>
    <col min="11" max="11" width="11.85546875" customWidth="1"/>
    <col min="12" max="12" width="8.42578125" bestFit="1" customWidth="1"/>
    <col min="13" max="13" width="10.42578125" customWidth="1"/>
    <col min="14" max="14" width="12" customWidth="1"/>
    <col min="15" max="15" width="10" customWidth="1"/>
    <col min="16" max="16" width="9.85546875" customWidth="1"/>
    <col min="17" max="17" width="11.7109375" customWidth="1"/>
    <col min="18" max="18" width="11.140625" customWidth="1"/>
    <col min="19" max="19" width="11.28515625" customWidth="1"/>
    <col min="20" max="20" width="13.5703125" customWidth="1"/>
    <col min="24" max="25" width="12" customWidth="1"/>
    <col min="26" max="26" width="13" customWidth="1"/>
    <col min="27" max="27" width="12" customWidth="1"/>
  </cols>
  <sheetData>
    <row r="1" spans="1:29" x14ac:dyDescent="0.25">
      <c r="A1" s="36">
        <v>1</v>
      </c>
      <c r="B1" s="36">
        <v>2</v>
      </c>
      <c r="C1" s="36">
        <v>3</v>
      </c>
      <c r="D1" s="36">
        <v>4</v>
      </c>
      <c r="E1" s="36">
        <v>5</v>
      </c>
      <c r="F1" s="36">
        <v>6</v>
      </c>
      <c r="G1" s="36">
        <v>7</v>
      </c>
      <c r="H1" s="36">
        <v>8</v>
      </c>
      <c r="I1" s="36">
        <v>9</v>
      </c>
      <c r="J1" s="36">
        <v>10</v>
      </c>
      <c r="K1" s="36">
        <v>11</v>
      </c>
      <c r="L1" s="36">
        <v>12</v>
      </c>
      <c r="M1" s="36">
        <v>13</v>
      </c>
      <c r="N1" s="36">
        <v>14</v>
      </c>
      <c r="O1" s="36">
        <v>15</v>
      </c>
      <c r="P1" s="36">
        <v>16</v>
      </c>
      <c r="Q1" s="36">
        <v>17</v>
      </c>
      <c r="R1" s="36">
        <v>18</v>
      </c>
      <c r="S1" s="36">
        <v>19</v>
      </c>
      <c r="T1" s="36">
        <v>20</v>
      </c>
      <c r="U1" s="36">
        <v>21</v>
      </c>
      <c r="V1" s="36">
        <v>22</v>
      </c>
      <c r="W1" s="36">
        <v>23</v>
      </c>
      <c r="X1" s="36">
        <v>24</v>
      </c>
      <c r="Y1" s="36">
        <v>25</v>
      </c>
      <c r="Z1" s="36">
        <v>26</v>
      </c>
      <c r="AA1" s="36">
        <v>27</v>
      </c>
      <c r="AB1" s="36">
        <v>28</v>
      </c>
      <c r="AC1" s="36">
        <v>29</v>
      </c>
    </row>
    <row r="2" spans="1:29" x14ac:dyDescent="0.25">
      <c r="D2" t="s">
        <v>595</v>
      </c>
      <c r="E2" t="s">
        <v>597</v>
      </c>
      <c r="F2" t="s">
        <v>599</v>
      </c>
      <c r="G2" t="s">
        <v>601</v>
      </c>
      <c r="H2" t="s">
        <v>595</v>
      </c>
      <c r="I2" t="s">
        <v>597</v>
      </c>
      <c r="J2" t="s">
        <v>599</v>
      </c>
      <c r="K2" t="s">
        <v>601</v>
      </c>
      <c r="L2" t="s">
        <v>595</v>
      </c>
      <c r="M2" t="s">
        <v>597</v>
      </c>
      <c r="N2" t="s">
        <v>599</v>
      </c>
      <c r="O2" t="s">
        <v>601</v>
      </c>
    </row>
    <row r="3" spans="1:29" s="4" customFormat="1" ht="75" x14ac:dyDescent="0.25">
      <c r="A3" s="3" t="s">
        <v>93</v>
      </c>
      <c r="B3" s="3" t="s">
        <v>94</v>
      </c>
      <c r="C3" s="3" t="s">
        <v>95</v>
      </c>
      <c r="D3" s="3" t="s">
        <v>812</v>
      </c>
      <c r="E3" s="3" t="s">
        <v>813</v>
      </c>
      <c r="F3" s="3" t="s">
        <v>814</v>
      </c>
      <c r="G3" s="3" t="s">
        <v>815</v>
      </c>
      <c r="H3" s="3" t="s">
        <v>816</v>
      </c>
      <c r="I3" s="3" t="s">
        <v>817</v>
      </c>
      <c r="J3" s="3" t="s">
        <v>818</v>
      </c>
      <c r="K3" s="3" t="s">
        <v>819</v>
      </c>
      <c r="L3" s="3" t="s">
        <v>820</v>
      </c>
      <c r="M3" s="3" t="s">
        <v>821</v>
      </c>
      <c r="N3" s="3" t="s">
        <v>822</v>
      </c>
      <c r="O3" s="3" t="s">
        <v>823</v>
      </c>
      <c r="P3" s="5" t="s">
        <v>824</v>
      </c>
      <c r="Q3" s="5" t="s">
        <v>825</v>
      </c>
      <c r="R3" s="5" t="s">
        <v>826</v>
      </c>
      <c r="S3" s="2" t="s">
        <v>827</v>
      </c>
      <c r="T3" s="54" t="s">
        <v>828</v>
      </c>
      <c r="U3" s="3" t="s">
        <v>829</v>
      </c>
      <c r="V3" s="2" t="s">
        <v>830</v>
      </c>
      <c r="W3" s="39" t="s">
        <v>831</v>
      </c>
      <c r="X3" s="3" t="s">
        <v>832</v>
      </c>
      <c r="Y3" s="39" t="s">
        <v>833</v>
      </c>
      <c r="Z3" s="3" t="s">
        <v>834</v>
      </c>
      <c r="AA3" s="39" t="s">
        <v>835</v>
      </c>
      <c r="AB3" s="3" t="s">
        <v>836</v>
      </c>
      <c r="AC3" s="39" t="s">
        <v>837</v>
      </c>
    </row>
    <row r="4" spans="1:29" x14ac:dyDescent="0.25">
      <c r="A4">
        <v>50773</v>
      </c>
      <c r="B4" t="s">
        <v>102</v>
      </c>
      <c r="C4" t="s">
        <v>202</v>
      </c>
      <c r="D4" s="1">
        <v>740.54436499999997</v>
      </c>
      <c r="E4" s="1">
        <v>6.2724609999999998</v>
      </c>
      <c r="F4" s="1">
        <v>108.26540199999999</v>
      </c>
      <c r="G4" s="1">
        <v>829.11196700000005</v>
      </c>
      <c r="H4" s="1">
        <v>758.63701700000001</v>
      </c>
      <c r="I4" s="1">
        <v>5.8038169999999996</v>
      </c>
      <c r="J4" s="1">
        <v>97.243082999999999</v>
      </c>
      <c r="K4" s="1">
        <v>837.48848399999997</v>
      </c>
      <c r="L4" s="1">
        <v>727.16402200000005</v>
      </c>
      <c r="M4" s="1">
        <v>4.0484559999999998</v>
      </c>
      <c r="N4" s="1">
        <v>110.742681</v>
      </c>
      <c r="O4" s="1">
        <v>822.15640199999996</v>
      </c>
      <c r="P4" s="1">
        <f>D4+E4+F4</f>
        <v>855.08222799999999</v>
      </c>
      <c r="Q4" s="1">
        <f>H4+I4+J4</f>
        <v>861.68391699999995</v>
      </c>
      <c r="R4" s="1">
        <f>L4+M4+N4</f>
        <v>841.95515900000009</v>
      </c>
      <c r="S4" s="1">
        <f>(P4+Q4+R4)/3</f>
        <v>852.90710133333334</v>
      </c>
      <c r="T4" t="str">
        <f>IF(S4&gt;R4,"3YRS_AVG","FY21")</f>
        <v>3YRS_AVG</v>
      </c>
      <c r="U4" s="1">
        <f>IF(T4="3YRS_AVG",S4,R4)</f>
        <v>852.90710133333334</v>
      </c>
      <c r="V4" s="1">
        <f>(D4+H4+L4)/3</f>
        <v>742.11513466666668</v>
      </c>
      <c r="W4" s="1">
        <f>IF(T4="3YRS_AVG",V4,L4)</f>
        <v>742.11513466666668</v>
      </c>
      <c r="X4" s="1">
        <f>E4+I4+M4</f>
        <v>16.124733999999997</v>
      </c>
      <c r="Y4" s="1">
        <f>IF(T4="3YRS_AVG",X4,M4)</f>
        <v>16.124733999999997</v>
      </c>
      <c r="Z4" s="1">
        <f>(F4+J4+N4)/3</f>
        <v>105.41705533333334</v>
      </c>
      <c r="AA4" s="1">
        <f>IF(T4="3YRS_AVG",Z4,N4)</f>
        <v>105.41705533333334</v>
      </c>
      <c r="AB4" s="1">
        <f>(G4+K4+O4)/3</f>
        <v>829.58561766666662</v>
      </c>
      <c r="AC4" s="1">
        <f>IF(T4="3YRS_AVG",AB4,O4)</f>
        <v>829.58561766666662</v>
      </c>
    </row>
    <row r="5" spans="1:29" s="12" customFormat="1" x14ac:dyDescent="0.25">
      <c r="A5" s="12">
        <v>50799</v>
      </c>
      <c r="B5" s="12" t="s">
        <v>104</v>
      </c>
      <c r="C5" s="12" t="s">
        <v>203</v>
      </c>
      <c r="D5" s="13">
        <v>393.78367900000001</v>
      </c>
      <c r="E5" s="13">
        <v>12.202212999999999</v>
      </c>
      <c r="F5" s="13">
        <v>64.198983999999996</v>
      </c>
      <c r="G5" s="13">
        <v>385.92887100000002</v>
      </c>
      <c r="H5" s="13">
        <v>383.86717199999998</v>
      </c>
      <c r="I5" s="13">
        <v>17.413539</v>
      </c>
      <c r="J5" s="13">
        <v>105.439824</v>
      </c>
      <c r="K5" s="13">
        <v>404.72288500000002</v>
      </c>
      <c r="L5" s="13">
        <v>428.60311000000002</v>
      </c>
      <c r="M5" s="13">
        <v>12.680555</v>
      </c>
      <c r="N5" s="13">
        <v>74.625608</v>
      </c>
      <c r="O5" s="13">
        <v>432.107643</v>
      </c>
      <c r="P5" s="13">
        <f t="shared" ref="P5:P52" si="0">D5+E5+F5</f>
        <v>470.18487599999997</v>
      </c>
      <c r="Q5" s="13">
        <f t="shared" ref="Q5:Q52" si="1">H5+I5+J5</f>
        <v>506.72053499999998</v>
      </c>
      <c r="R5" s="13">
        <f t="shared" ref="R5:R52" si="2">L5+M5+N5</f>
        <v>515.90927299999998</v>
      </c>
      <c r="S5" s="13">
        <f t="shared" ref="S5:S52" si="3">(P5+Q5+R5)/3</f>
        <v>497.60489466666667</v>
      </c>
      <c r="T5" s="12" t="str">
        <f t="shared" ref="T5:T52" si="4">IF(S5&gt;R5,"3YRS_AVG","FY21")</f>
        <v>FY21</v>
      </c>
      <c r="U5" s="1">
        <f t="shared" ref="U5:U52" si="5">IF(T5="3YRS_AVG",S5,R5)</f>
        <v>515.90927299999998</v>
      </c>
      <c r="V5" s="13">
        <f t="shared" ref="V5:V52" si="6">(D5+H5+L5)/3</f>
        <v>402.08465366666661</v>
      </c>
      <c r="W5" s="13">
        <f t="shared" ref="W5:W52" si="7">IF(T5="3YRS_AVG",V5,L5)</f>
        <v>428.60311000000002</v>
      </c>
      <c r="X5" s="13">
        <f t="shared" ref="X5:X52" si="8">E5+I5+M5</f>
        <v>42.296306999999999</v>
      </c>
      <c r="Y5" s="13">
        <f t="shared" ref="Y5:Y52" si="9">IF(T5="3YRS_AVG",X5,M5)</f>
        <v>12.680555</v>
      </c>
      <c r="Z5" s="13">
        <f t="shared" ref="Z5:Z52" si="10">(F5+J5+N5)/3</f>
        <v>81.421471999999994</v>
      </c>
      <c r="AA5" s="13">
        <f t="shared" ref="AA5:AA52" si="11">IF(T5="3YRS_AVG",Z5,N5)</f>
        <v>74.625608</v>
      </c>
      <c r="AB5" s="13">
        <f t="shared" ref="AB5:AB52" si="12">(G5+K5+O5)/3</f>
        <v>407.58646633333336</v>
      </c>
      <c r="AC5" s="13">
        <f t="shared" ref="AC5:AC52" si="13">IF(T5="3YRS_AVG",AB5,O5)</f>
        <v>432.107643</v>
      </c>
    </row>
    <row r="6" spans="1:29" x14ac:dyDescent="0.25">
      <c r="A6">
        <v>50815</v>
      </c>
      <c r="B6" t="s">
        <v>106</v>
      </c>
      <c r="C6" t="s">
        <v>204</v>
      </c>
      <c r="D6" s="1">
        <v>475.85186499999998</v>
      </c>
      <c r="E6" s="1">
        <v>16.115907</v>
      </c>
      <c r="F6" s="1">
        <v>124.355233</v>
      </c>
      <c r="G6" s="1">
        <v>584.74832100000003</v>
      </c>
      <c r="H6" s="1">
        <v>422.91154399999999</v>
      </c>
      <c r="I6" s="1">
        <v>42.054279000000001</v>
      </c>
      <c r="J6" s="1">
        <v>151.008117</v>
      </c>
      <c r="K6" s="1">
        <v>567.22626600000001</v>
      </c>
      <c r="L6" s="1">
        <v>446.82243199999999</v>
      </c>
      <c r="M6" s="1">
        <v>14.325845999999999</v>
      </c>
      <c r="N6" s="1">
        <v>166.59231299999999</v>
      </c>
      <c r="O6" s="1">
        <v>603.56745699999999</v>
      </c>
      <c r="P6" s="1">
        <f t="shared" si="0"/>
        <v>616.32300499999997</v>
      </c>
      <c r="Q6" s="1">
        <f t="shared" si="1"/>
        <v>615.97393999999997</v>
      </c>
      <c r="R6" s="1">
        <f t="shared" si="2"/>
        <v>627.74059099999999</v>
      </c>
      <c r="S6" s="1">
        <f t="shared" si="3"/>
        <v>620.01251200000002</v>
      </c>
      <c r="T6" t="str">
        <f t="shared" si="4"/>
        <v>FY21</v>
      </c>
      <c r="U6" s="1">
        <f t="shared" si="5"/>
        <v>627.74059099999999</v>
      </c>
      <c r="V6" s="1">
        <f t="shared" si="6"/>
        <v>448.52861366666662</v>
      </c>
      <c r="W6" s="1">
        <f t="shared" si="7"/>
        <v>446.82243199999999</v>
      </c>
      <c r="X6" s="1">
        <f t="shared" si="8"/>
        <v>72.496032</v>
      </c>
      <c r="Y6" s="1">
        <f t="shared" si="9"/>
        <v>14.325845999999999</v>
      </c>
      <c r="Z6" s="1">
        <f t="shared" si="10"/>
        <v>147.31855433333331</v>
      </c>
      <c r="AA6" s="1">
        <f t="shared" si="11"/>
        <v>166.59231299999999</v>
      </c>
      <c r="AB6" s="1">
        <f t="shared" si="12"/>
        <v>585.18068133333338</v>
      </c>
      <c r="AC6" s="1">
        <f t="shared" si="13"/>
        <v>603.56745699999999</v>
      </c>
    </row>
    <row r="7" spans="1:29" x14ac:dyDescent="0.25">
      <c r="A7">
        <v>50856</v>
      </c>
      <c r="B7" t="s">
        <v>108</v>
      </c>
      <c r="C7" t="s">
        <v>205</v>
      </c>
      <c r="D7" s="1">
        <v>451.48627699999997</v>
      </c>
      <c r="E7" s="1">
        <v>0.92119399999999996</v>
      </c>
      <c r="F7" s="1">
        <v>40.544626000000001</v>
      </c>
      <c r="G7" s="1">
        <v>473.350686</v>
      </c>
      <c r="H7" s="1">
        <v>429.32635699999997</v>
      </c>
      <c r="I7" s="1">
        <v>0.74236499999999994</v>
      </c>
      <c r="J7" s="1">
        <v>41.585968000000001</v>
      </c>
      <c r="K7" s="1">
        <v>446.75437699999998</v>
      </c>
      <c r="L7" s="1">
        <v>366.077607</v>
      </c>
      <c r="M7" s="1">
        <v>1.4078249999999999</v>
      </c>
      <c r="N7" s="1">
        <v>34.013888999999999</v>
      </c>
      <c r="O7" s="1">
        <v>375.54769499999998</v>
      </c>
      <c r="P7" s="1">
        <f t="shared" si="0"/>
        <v>492.95209699999998</v>
      </c>
      <c r="Q7" s="1">
        <f t="shared" si="1"/>
        <v>471.65468999999996</v>
      </c>
      <c r="R7" s="1">
        <f t="shared" si="2"/>
        <v>401.49932100000001</v>
      </c>
      <c r="S7" s="1">
        <f t="shared" si="3"/>
        <v>455.36870266666665</v>
      </c>
      <c r="T7" t="str">
        <f t="shared" si="4"/>
        <v>3YRS_AVG</v>
      </c>
      <c r="U7" s="1">
        <f t="shared" si="5"/>
        <v>455.36870266666665</v>
      </c>
      <c r="V7" s="1">
        <f t="shared" si="6"/>
        <v>415.6300803333333</v>
      </c>
      <c r="W7" s="1">
        <f t="shared" si="7"/>
        <v>415.6300803333333</v>
      </c>
      <c r="X7" s="1">
        <f t="shared" si="8"/>
        <v>3.0713839999999997</v>
      </c>
      <c r="Y7" s="1">
        <f t="shared" si="9"/>
        <v>3.0713839999999997</v>
      </c>
      <c r="Z7" s="1">
        <f t="shared" si="10"/>
        <v>38.714827666666672</v>
      </c>
      <c r="AA7" s="1">
        <f t="shared" si="11"/>
        <v>38.714827666666672</v>
      </c>
      <c r="AB7" s="1">
        <f t="shared" si="12"/>
        <v>431.88425266666667</v>
      </c>
      <c r="AC7" s="1">
        <f t="shared" si="13"/>
        <v>431.88425266666667</v>
      </c>
    </row>
    <row r="8" spans="1:29" x14ac:dyDescent="0.25">
      <c r="A8">
        <v>50880</v>
      </c>
      <c r="B8" t="s">
        <v>110</v>
      </c>
      <c r="C8" t="s">
        <v>206</v>
      </c>
      <c r="D8" s="1">
        <v>2969.3525719999998</v>
      </c>
      <c r="E8" s="1">
        <v>120.280213</v>
      </c>
      <c r="F8" s="1">
        <v>423.69021900000001</v>
      </c>
      <c r="G8" s="1">
        <v>2997.6399280000001</v>
      </c>
      <c r="H8" s="1">
        <v>3127.9885220000001</v>
      </c>
      <c r="I8" s="1">
        <v>144.714249</v>
      </c>
      <c r="J8" s="1">
        <v>463.19382999999999</v>
      </c>
      <c r="K8" s="1">
        <v>3178.9146940000001</v>
      </c>
      <c r="L8" s="1">
        <v>2913.339144</v>
      </c>
      <c r="M8" s="1">
        <v>110.432936</v>
      </c>
      <c r="N8" s="1">
        <v>611.00155199999995</v>
      </c>
      <c r="O8" s="1">
        <v>3125.9220209999999</v>
      </c>
      <c r="P8" s="1">
        <f t="shared" si="0"/>
        <v>3513.3230039999999</v>
      </c>
      <c r="Q8" s="1">
        <f t="shared" si="1"/>
        <v>3735.8966010000004</v>
      </c>
      <c r="R8" s="1">
        <f t="shared" si="2"/>
        <v>3634.7736320000004</v>
      </c>
      <c r="S8" s="1">
        <f t="shared" si="3"/>
        <v>3627.997745666667</v>
      </c>
      <c r="T8" t="str">
        <f t="shared" si="4"/>
        <v>FY21</v>
      </c>
      <c r="U8" s="1">
        <f t="shared" si="5"/>
        <v>3634.7736320000004</v>
      </c>
      <c r="V8" s="1">
        <f t="shared" si="6"/>
        <v>3003.5600793333329</v>
      </c>
      <c r="W8" s="1">
        <f t="shared" si="7"/>
        <v>2913.339144</v>
      </c>
      <c r="X8" s="1">
        <f t="shared" si="8"/>
        <v>375.42739799999998</v>
      </c>
      <c r="Y8" s="1">
        <f t="shared" si="9"/>
        <v>110.432936</v>
      </c>
      <c r="Z8" s="1">
        <f t="shared" si="10"/>
        <v>499.2952003333333</v>
      </c>
      <c r="AA8" s="1">
        <f t="shared" si="11"/>
        <v>611.00155199999995</v>
      </c>
      <c r="AB8" s="1">
        <f t="shared" si="12"/>
        <v>3100.8255476666668</v>
      </c>
      <c r="AC8" s="1">
        <f t="shared" si="13"/>
        <v>3125.9220209999999</v>
      </c>
    </row>
    <row r="9" spans="1:29" x14ac:dyDescent="0.25">
      <c r="A9">
        <v>50906</v>
      </c>
      <c r="B9" t="s">
        <v>112</v>
      </c>
      <c r="C9" t="s">
        <v>207</v>
      </c>
      <c r="D9" s="1">
        <v>277.528616</v>
      </c>
      <c r="E9" s="1">
        <v>0</v>
      </c>
      <c r="F9" s="1">
        <v>47.459137999999996</v>
      </c>
      <c r="G9" s="1">
        <v>324.987754</v>
      </c>
      <c r="H9" s="1">
        <v>263.80092400000001</v>
      </c>
      <c r="I9" s="1">
        <v>0</v>
      </c>
      <c r="J9" s="1">
        <v>42.989913000000001</v>
      </c>
      <c r="K9" s="1">
        <v>306.79083700000001</v>
      </c>
      <c r="L9" s="1">
        <v>272.13205700000003</v>
      </c>
      <c r="M9" s="1">
        <v>0</v>
      </c>
      <c r="N9" s="1">
        <v>36.282311999999997</v>
      </c>
      <c r="O9" s="1">
        <v>308.41436900000002</v>
      </c>
      <c r="P9" s="1">
        <f t="shared" si="0"/>
        <v>324.987754</v>
      </c>
      <c r="Q9" s="1">
        <f t="shared" si="1"/>
        <v>306.79083700000001</v>
      </c>
      <c r="R9" s="1">
        <f t="shared" si="2"/>
        <v>308.41436900000002</v>
      </c>
      <c r="S9" s="1">
        <f t="shared" si="3"/>
        <v>313.39765333333338</v>
      </c>
      <c r="T9" t="str">
        <f t="shared" si="4"/>
        <v>3YRS_AVG</v>
      </c>
      <c r="U9" s="1">
        <f t="shared" si="5"/>
        <v>313.39765333333338</v>
      </c>
      <c r="V9" s="1">
        <f t="shared" si="6"/>
        <v>271.15386566666666</v>
      </c>
      <c r="W9" s="1">
        <f t="shared" si="7"/>
        <v>271.15386566666666</v>
      </c>
      <c r="X9" s="1">
        <f t="shared" si="8"/>
        <v>0</v>
      </c>
      <c r="Y9" s="1">
        <f t="shared" si="9"/>
        <v>0</v>
      </c>
      <c r="Z9" s="1">
        <f t="shared" si="10"/>
        <v>42.243787666666663</v>
      </c>
      <c r="AA9" s="1">
        <f t="shared" si="11"/>
        <v>42.243787666666663</v>
      </c>
      <c r="AB9" s="1">
        <f t="shared" si="12"/>
        <v>313.39765333333338</v>
      </c>
      <c r="AC9" s="1">
        <f t="shared" si="13"/>
        <v>313.39765333333338</v>
      </c>
    </row>
    <row r="10" spans="1:29" x14ac:dyDescent="0.25">
      <c r="A10">
        <v>50922</v>
      </c>
      <c r="B10" t="s">
        <v>114</v>
      </c>
      <c r="C10" t="s">
        <v>208</v>
      </c>
      <c r="D10" s="1">
        <v>382.70887399999998</v>
      </c>
      <c r="E10" s="1">
        <v>0</v>
      </c>
      <c r="F10" s="1">
        <v>41.559332999999995</v>
      </c>
      <c r="G10" s="1">
        <v>424.26820700000002</v>
      </c>
      <c r="H10" s="1">
        <v>383.52702699999998</v>
      </c>
      <c r="I10" s="1">
        <v>0</v>
      </c>
      <c r="J10" s="1">
        <v>30.576476</v>
      </c>
      <c r="K10" s="1">
        <v>414.10350299999999</v>
      </c>
      <c r="L10" s="1">
        <v>347.81362799999999</v>
      </c>
      <c r="M10" s="1">
        <v>0</v>
      </c>
      <c r="N10" s="1">
        <v>18.33051</v>
      </c>
      <c r="O10" s="1">
        <v>366.144138</v>
      </c>
      <c r="P10" s="1">
        <f t="shared" si="0"/>
        <v>424.26820699999996</v>
      </c>
      <c r="Q10" s="1">
        <f t="shared" si="1"/>
        <v>414.10350299999999</v>
      </c>
      <c r="R10" s="1">
        <f t="shared" si="2"/>
        <v>366.144138</v>
      </c>
      <c r="S10" s="1">
        <f t="shared" si="3"/>
        <v>401.50528266666669</v>
      </c>
      <c r="T10" t="str">
        <f t="shared" si="4"/>
        <v>3YRS_AVG</v>
      </c>
      <c r="U10" s="1">
        <f t="shared" si="5"/>
        <v>401.50528266666669</v>
      </c>
      <c r="V10" s="1">
        <f t="shared" si="6"/>
        <v>371.34984299999996</v>
      </c>
      <c r="W10" s="1">
        <f t="shared" si="7"/>
        <v>371.34984299999996</v>
      </c>
      <c r="X10" s="1">
        <f t="shared" si="8"/>
        <v>0</v>
      </c>
      <c r="Y10" s="1">
        <f t="shared" si="9"/>
        <v>0</v>
      </c>
      <c r="Z10" s="1">
        <f t="shared" si="10"/>
        <v>30.155439666666666</v>
      </c>
      <c r="AA10" s="1">
        <f t="shared" si="11"/>
        <v>30.155439666666666</v>
      </c>
      <c r="AB10" s="1">
        <f t="shared" si="12"/>
        <v>401.50528266666669</v>
      </c>
      <c r="AC10" s="1">
        <f t="shared" si="13"/>
        <v>401.50528266666669</v>
      </c>
    </row>
    <row r="11" spans="1:29" x14ac:dyDescent="0.25">
      <c r="A11">
        <v>50948</v>
      </c>
      <c r="B11" t="s">
        <v>116</v>
      </c>
      <c r="C11" t="s">
        <v>208</v>
      </c>
      <c r="D11" s="1">
        <v>575.459746</v>
      </c>
      <c r="E11" s="1">
        <v>12.425855</v>
      </c>
      <c r="F11" s="1">
        <v>19.713384999999999</v>
      </c>
      <c r="G11" s="1">
        <v>491.08951100000002</v>
      </c>
      <c r="H11" s="1">
        <v>552.44549199999994</v>
      </c>
      <c r="I11" s="1">
        <v>11.84676</v>
      </c>
      <c r="J11" s="1">
        <v>37.074159999999999</v>
      </c>
      <c r="K11" s="1">
        <v>512.79047000000003</v>
      </c>
      <c r="L11" s="1">
        <v>555.27365499999996</v>
      </c>
      <c r="M11" s="1">
        <v>5.4963939999999996</v>
      </c>
      <c r="N11" s="1">
        <v>16.078609</v>
      </c>
      <c r="O11" s="1">
        <v>501.36066599999998</v>
      </c>
      <c r="P11" s="1">
        <f t="shared" si="0"/>
        <v>607.59898599999997</v>
      </c>
      <c r="Q11" s="1">
        <f t="shared" si="1"/>
        <v>601.36641199999997</v>
      </c>
      <c r="R11" s="1">
        <f t="shared" si="2"/>
        <v>576.848658</v>
      </c>
      <c r="S11" s="1">
        <f t="shared" si="3"/>
        <v>595.27135199999987</v>
      </c>
      <c r="T11" t="str">
        <f t="shared" si="4"/>
        <v>3YRS_AVG</v>
      </c>
      <c r="U11" s="1">
        <f t="shared" si="5"/>
        <v>595.27135199999987</v>
      </c>
      <c r="V11" s="1">
        <f t="shared" si="6"/>
        <v>561.05963099999997</v>
      </c>
      <c r="W11" s="1">
        <f t="shared" si="7"/>
        <v>561.05963099999997</v>
      </c>
      <c r="X11" s="1">
        <f t="shared" si="8"/>
        <v>29.769009</v>
      </c>
      <c r="Y11" s="1">
        <f t="shared" si="9"/>
        <v>29.769009</v>
      </c>
      <c r="Z11" s="1">
        <f t="shared" si="10"/>
        <v>24.288717999999999</v>
      </c>
      <c r="AA11" s="1">
        <f t="shared" si="11"/>
        <v>24.288717999999999</v>
      </c>
      <c r="AB11" s="1">
        <f t="shared" si="12"/>
        <v>501.74688233333336</v>
      </c>
      <c r="AC11" s="1">
        <f t="shared" si="13"/>
        <v>501.74688233333336</v>
      </c>
    </row>
    <row r="12" spans="1:29" x14ac:dyDescent="0.25">
      <c r="A12">
        <v>50963</v>
      </c>
      <c r="B12" t="s">
        <v>118</v>
      </c>
      <c r="C12" t="s">
        <v>209</v>
      </c>
      <c r="D12" s="1">
        <v>742.33668999999998</v>
      </c>
      <c r="E12" s="1">
        <v>2.6794709999999999</v>
      </c>
      <c r="F12" s="1">
        <v>181.441339</v>
      </c>
      <c r="G12" s="1">
        <v>909.07432400000005</v>
      </c>
      <c r="H12" s="1">
        <v>716.91491399999995</v>
      </c>
      <c r="I12" s="1">
        <v>4.6879960000000001</v>
      </c>
      <c r="J12" s="1">
        <v>177.13317599999999</v>
      </c>
      <c r="K12" s="1">
        <v>875.62032699999997</v>
      </c>
      <c r="L12" s="1">
        <v>740.10559999999998</v>
      </c>
      <c r="M12" s="1">
        <v>2.8769109999999998</v>
      </c>
      <c r="N12" s="1">
        <v>168.88658599999999</v>
      </c>
      <c r="O12" s="1">
        <v>895.51597400000003</v>
      </c>
      <c r="P12" s="1">
        <f t="shared" si="0"/>
        <v>926.45749999999998</v>
      </c>
      <c r="Q12" s="1">
        <f t="shared" si="1"/>
        <v>898.73608599999989</v>
      </c>
      <c r="R12" s="1">
        <f t="shared" si="2"/>
        <v>911.8690969999999</v>
      </c>
      <c r="S12" s="1">
        <f t="shared" si="3"/>
        <v>912.35422766666659</v>
      </c>
      <c r="T12" t="str">
        <f t="shared" si="4"/>
        <v>3YRS_AVG</v>
      </c>
      <c r="U12" s="1">
        <f t="shared" si="5"/>
        <v>912.35422766666659</v>
      </c>
      <c r="V12" s="1">
        <f t="shared" si="6"/>
        <v>733.11906799999997</v>
      </c>
      <c r="W12" s="1">
        <f t="shared" si="7"/>
        <v>733.11906799999997</v>
      </c>
      <c r="X12" s="1">
        <f t="shared" si="8"/>
        <v>10.244377999999999</v>
      </c>
      <c r="Y12" s="1">
        <f t="shared" si="9"/>
        <v>10.244377999999999</v>
      </c>
      <c r="Z12" s="1">
        <f t="shared" si="10"/>
        <v>175.820367</v>
      </c>
      <c r="AA12" s="1">
        <f t="shared" si="11"/>
        <v>175.820367</v>
      </c>
      <c r="AB12" s="1">
        <f t="shared" si="12"/>
        <v>893.40354166666668</v>
      </c>
      <c r="AC12" s="1">
        <f t="shared" si="13"/>
        <v>893.40354166666668</v>
      </c>
    </row>
    <row r="13" spans="1:29" x14ac:dyDescent="0.25">
      <c r="A13">
        <v>50989</v>
      </c>
      <c r="B13" t="s">
        <v>120</v>
      </c>
      <c r="C13" t="s">
        <v>210</v>
      </c>
      <c r="D13" s="1">
        <v>518.61769300000003</v>
      </c>
      <c r="E13" s="1">
        <v>11.317357999999999</v>
      </c>
      <c r="F13" s="1">
        <v>66.117908999999997</v>
      </c>
      <c r="G13" s="1">
        <v>555.33841400000006</v>
      </c>
      <c r="H13" s="1">
        <v>576.51097700000003</v>
      </c>
      <c r="I13" s="1">
        <v>12.323600000000001</v>
      </c>
      <c r="J13" s="1">
        <v>72.741614999999996</v>
      </c>
      <c r="K13" s="1">
        <v>615.51235999999994</v>
      </c>
      <c r="L13" s="1">
        <v>593.48337300000003</v>
      </c>
      <c r="M13" s="1">
        <v>15.345507999999999</v>
      </c>
      <c r="N13" s="1">
        <v>75.411170999999996</v>
      </c>
      <c r="O13" s="1">
        <v>641.20695599999999</v>
      </c>
      <c r="P13" s="1">
        <f t="shared" si="0"/>
        <v>596.05295999999998</v>
      </c>
      <c r="Q13" s="1">
        <f t="shared" si="1"/>
        <v>661.57619200000011</v>
      </c>
      <c r="R13" s="1">
        <f t="shared" si="2"/>
        <v>684.24005199999999</v>
      </c>
      <c r="S13" s="1">
        <f t="shared" si="3"/>
        <v>647.28973466666673</v>
      </c>
      <c r="T13" t="str">
        <f t="shared" si="4"/>
        <v>FY21</v>
      </c>
      <c r="U13" s="1">
        <f t="shared" si="5"/>
        <v>684.24005199999999</v>
      </c>
      <c r="V13" s="1">
        <f t="shared" si="6"/>
        <v>562.87068099999999</v>
      </c>
      <c r="W13" s="1">
        <f t="shared" si="7"/>
        <v>593.48337300000003</v>
      </c>
      <c r="X13" s="1">
        <f t="shared" si="8"/>
        <v>38.986465999999993</v>
      </c>
      <c r="Y13" s="1">
        <f t="shared" si="9"/>
        <v>15.345507999999999</v>
      </c>
      <c r="Z13" s="1">
        <f t="shared" si="10"/>
        <v>71.423564999999996</v>
      </c>
      <c r="AA13" s="1">
        <f t="shared" si="11"/>
        <v>75.411170999999996</v>
      </c>
      <c r="AB13" s="1">
        <f t="shared" si="12"/>
        <v>604.01924333333329</v>
      </c>
      <c r="AC13" s="1">
        <f t="shared" si="13"/>
        <v>641.20695599999999</v>
      </c>
    </row>
    <row r="14" spans="1:29" x14ac:dyDescent="0.25">
      <c r="A14">
        <v>51003</v>
      </c>
      <c r="B14" t="s">
        <v>122</v>
      </c>
      <c r="C14" t="s">
        <v>211</v>
      </c>
      <c r="D14" s="1">
        <v>684.94891299999995</v>
      </c>
      <c r="E14" s="1">
        <v>0</v>
      </c>
      <c r="F14" s="1">
        <v>399.75198699999999</v>
      </c>
      <c r="G14" s="1">
        <v>1084.7009</v>
      </c>
      <c r="H14" s="1">
        <v>1028.2939960000001</v>
      </c>
      <c r="I14" s="1">
        <v>0</v>
      </c>
      <c r="J14" s="1">
        <v>266.83039600000001</v>
      </c>
      <c r="K14" s="1">
        <v>1295.1243919999999</v>
      </c>
      <c r="L14" s="1">
        <v>1100.7043209999999</v>
      </c>
      <c r="M14" s="1">
        <v>0</v>
      </c>
      <c r="N14" s="1">
        <v>306.552235</v>
      </c>
      <c r="O14" s="1">
        <v>1407.256556</v>
      </c>
      <c r="P14" s="1">
        <f t="shared" si="0"/>
        <v>1084.7008999999998</v>
      </c>
      <c r="Q14" s="1">
        <f t="shared" si="1"/>
        <v>1295.1243920000002</v>
      </c>
      <c r="R14" s="1">
        <f t="shared" si="2"/>
        <v>1407.2565559999998</v>
      </c>
      <c r="S14" s="1">
        <f t="shared" si="3"/>
        <v>1262.3606159999999</v>
      </c>
      <c r="T14" t="str">
        <f t="shared" si="4"/>
        <v>FY21</v>
      </c>
      <c r="U14" s="1">
        <f t="shared" si="5"/>
        <v>1407.2565559999998</v>
      </c>
      <c r="V14" s="1">
        <f t="shared" si="6"/>
        <v>937.98240999999996</v>
      </c>
      <c r="W14" s="1">
        <f t="shared" si="7"/>
        <v>1100.7043209999999</v>
      </c>
      <c r="X14" s="1">
        <f t="shared" si="8"/>
        <v>0</v>
      </c>
      <c r="Y14" s="1">
        <f t="shared" si="9"/>
        <v>0</v>
      </c>
      <c r="Z14" s="1">
        <f t="shared" si="10"/>
        <v>324.37820599999998</v>
      </c>
      <c r="AA14" s="1">
        <f t="shared" si="11"/>
        <v>306.552235</v>
      </c>
      <c r="AB14" s="1">
        <f t="shared" si="12"/>
        <v>1262.3606159999999</v>
      </c>
      <c r="AC14" s="1">
        <f t="shared" si="13"/>
        <v>1407.256556</v>
      </c>
    </row>
    <row r="15" spans="1:29" x14ac:dyDescent="0.25">
      <c r="A15">
        <v>51029</v>
      </c>
      <c r="B15" t="s">
        <v>124</v>
      </c>
      <c r="C15" t="s">
        <v>212</v>
      </c>
      <c r="D15" s="1">
        <v>666.029359</v>
      </c>
      <c r="E15" s="1">
        <v>0</v>
      </c>
      <c r="F15" s="1">
        <v>120.082494</v>
      </c>
      <c r="G15" s="1">
        <v>786.111853</v>
      </c>
      <c r="H15" s="1">
        <v>695.40365699999995</v>
      </c>
      <c r="I15" s="1">
        <v>0</v>
      </c>
      <c r="J15" s="1">
        <v>113.764826</v>
      </c>
      <c r="K15" s="1">
        <v>809.16848300000004</v>
      </c>
      <c r="L15" s="1">
        <v>637.34180500000002</v>
      </c>
      <c r="M15" s="1">
        <v>0</v>
      </c>
      <c r="N15" s="1">
        <v>109.076182</v>
      </c>
      <c r="O15" s="1">
        <v>746.41798700000004</v>
      </c>
      <c r="P15" s="1">
        <f t="shared" si="0"/>
        <v>786.111853</v>
      </c>
      <c r="Q15" s="1">
        <f t="shared" si="1"/>
        <v>809.16848299999992</v>
      </c>
      <c r="R15" s="1">
        <f t="shared" si="2"/>
        <v>746.41798700000004</v>
      </c>
      <c r="S15" s="1">
        <f t="shared" si="3"/>
        <v>780.56610766666654</v>
      </c>
      <c r="T15" t="str">
        <f t="shared" si="4"/>
        <v>3YRS_AVG</v>
      </c>
      <c r="U15" s="1">
        <f t="shared" si="5"/>
        <v>780.56610766666654</v>
      </c>
      <c r="V15" s="1">
        <f t="shared" si="6"/>
        <v>666.2582736666667</v>
      </c>
      <c r="W15" s="1">
        <f t="shared" si="7"/>
        <v>666.2582736666667</v>
      </c>
      <c r="X15" s="1">
        <f t="shared" si="8"/>
        <v>0</v>
      </c>
      <c r="Y15" s="1">
        <f t="shared" si="9"/>
        <v>0</v>
      </c>
      <c r="Z15" s="1">
        <f t="shared" si="10"/>
        <v>114.307834</v>
      </c>
      <c r="AA15" s="1">
        <f t="shared" si="11"/>
        <v>114.307834</v>
      </c>
      <c r="AB15" s="1">
        <f t="shared" si="12"/>
        <v>780.56610766666665</v>
      </c>
      <c r="AC15" s="1">
        <f t="shared" si="13"/>
        <v>780.56610766666665</v>
      </c>
    </row>
    <row r="16" spans="1:29" x14ac:dyDescent="0.25">
      <c r="A16">
        <v>51045</v>
      </c>
      <c r="B16" t="s">
        <v>126</v>
      </c>
      <c r="C16" t="s">
        <v>213</v>
      </c>
      <c r="D16" s="1">
        <v>721.19928900000002</v>
      </c>
      <c r="E16" s="1">
        <v>7.6628989999999995</v>
      </c>
      <c r="F16" s="1">
        <v>161.61913099999998</v>
      </c>
      <c r="G16" s="1">
        <v>803.27861299999995</v>
      </c>
      <c r="H16" s="1">
        <v>737.20551999999998</v>
      </c>
      <c r="I16" s="1">
        <v>25.721564999999998</v>
      </c>
      <c r="J16" s="1">
        <v>161.68494200000001</v>
      </c>
      <c r="K16" s="1">
        <v>827.73201800000004</v>
      </c>
      <c r="L16" s="1">
        <v>672.12583399999994</v>
      </c>
      <c r="M16" s="1">
        <v>1.680458</v>
      </c>
      <c r="N16" s="1">
        <v>189.623954</v>
      </c>
      <c r="O16" s="1">
        <v>794.98407599999996</v>
      </c>
      <c r="P16" s="1">
        <f t="shared" si="0"/>
        <v>890.48131899999998</v>
      </c>
      <c r="Q16" s="1">
        <f t="shared" si="1"/>
        <v>924.61202700000001</v>
      </c>
      <c r="R16" s="1">
        <f t="shared" si="2"/>
        <v>863.43024600000001</v>
      </c>
      <c r="S16" s="1">
        <f t="shared" si="3"/>
        <v>892.8411973333333</v>
      </c>
      <c r="T16" t="str">
        <f t="shared" si="4"/>
        <v>3YRS_AVG</v>
      </c>
      <c r="U16" s="1">
        <f t="shared" si="5"/>
        <v>892.8411973333333</v>
      </c>
      <c r="V16" s="1">
        <f t="shared" si="6"/>
        <v>710.17688099999998</v>
      </c>
      <c r="W16" s="1">
        <f t="shared" si="7"/>
        <v>710.17688099999998</v>
      </c>
      <c r="X16" s="1">
        <f t="shared" si="8"/>
        <v>35.064921999999996</v>
      </c>
      <c r="Y16" s="1">
        <f t="shared" si="9"/>
        <v>35.064921999999996</v>
      </c>
      <c r="Z16" s="1">
        <f t="shared" si="10"/>
        <v>170.976009</v>
      </c>
      <c r="AA16" s="1">
        <f t="shared" si="11"/>
        <v>170.976009</v>
      </c>
      <c r="AB16" s="1">
        <f t="shared" si="12"/>
        <v>808.66490233333332</v>
      </c>
      <c r="AC16" s="1">
        <f t="shared" si="13"/>
        <v>808.66490233333332</v>
      </c>
    </row>
    <row r="17" spans="1:29" x14ac:dyDescent="0.25">
      <c r="A17">
        <v>51060</v>
      </c>
      <c r="B17" t="s">
        <v>128</v>
      </c>
      <c r="C17" t="s">
        <v>214</v>
      </c>
      <c r="D17" s="1">
        <v>3027.2045429999998</v>
      </c>
      <c r="E17" s="1">
        <v>178.39041600000002</v>
      </c>
      <c r="F17" s="1">
        <v>511.55050999999997</v>
      </c>
      <c r="G17" s="1">
        <v>3177.9070259999999</v>
      </c>
      <c r="H17" s="1">
        <v>3168.3814520000001</v>
      </c>
      <c r="I17" s="1">
        <v>201.03154799999999</v>
      </c>
      <c r="J17" s="1">
        <v>540.75718900000004</v>
      </c>
      <c r="K17" s="1">
        <v>3350.8273300000001</v>
      </c>
      <c r="L17" s="1">
        <v>3132.4675130000001</v>
      </c>
      <c r="M17" s="1">
        <v>193.438379</v>
      </c>
      <c r="N17" s="1">
        <v>558.72776399999998</v>
      </c>
      <c r="O17" s="1">
        <v>3404.8121980000001</v>
      </c>
      <c r="P17" s="1">
        <f t="shared" si="0"/>
        <v>3717.145469</v>
      </c>
      <c r="Q17" s="1">
        <f t="shared" si="1"/>
        <v>3910.1701889999999</v>
      </c>
      <c r="R17" s="1">
        <f t="shared" si="2"/>
        <v>3884.633656</v>
      </c>
      <c r="S17" s="1">
        <f t="shared" si="3"/>
        <v>3837.3164379999998</v>
      </c>
      <c r="T17" t="str">
        <f t="shared" si="4"/>
        <v>FY21</v>
      </c>
      <c r="U17" s="1">
        <f t="shared" si="5"/>
        <v>3884.633656</v>
      </c>
      <c r="V17" s="1">
        <f t="shared" si="6"/>
        <v>3109.351169333333</v>
      </c>
      <c r="W17" s="1">
        <f t="shared" si="7"/>
        <v>3132.4675130000001</v>
      </c>
      <c r="X17" s="1">
        <f t="shared" si="8"/>
        <v>572.86034300000006</v>
      </c>
      <c r="Y17" s="1">
        <f t="shared" si="9"/>
        <v>193.438379</v>
      </c>
      <c r="Z17" s="1">
        <f t="shared" si="10"/>
        <v>537.01182099999994</v>
      </c>
      <c r="AA17" s="1">
        <f t="shared" si="11"/>
        <v>558.72776399999998</v>
      </c>
      <c r="AB17" s="1">
        <f t="shared" si="12"/>
        <v>3311.1821846666667</v>
      </c>
      <c r="AC17" s="1">
        <f t="shared" si="13"/>
        <v>3404.8121980000001</v>
      </c>
    </row>
    <row r="18" spans="1:29" x14ac:dyDescent="0.25">
      <c r="A18">
        <v>51128</v>
      </c>
      <c r="B18" t="s">
        <v>130</v>
      </c>
      <c r="C18" t="s">
        <v>215</v>
      </c>
      <c r="D18" s="1">
        <v>269.37544400000002</v>
      </c>
      <c r="E18" s="1">
        <v>0</v>
      </c>
      <c r="F18" s="1">
        <v>50.788942999999996</v>
      </c>
      <c r="G18" s="1">
        <v>320.16438699999998</v>
      </c>
      <c r="H18" s="1">
        <v>314.001668</v>
      </c>
      <c r="I18" s="1">
        <v>0</v>
      </c>
      <c r="J18" s="1">
        <v>46.678576999999997</v>
      </c>
      <c r="K18" s="1">
        <v>360.68024500000001</v>
      </c>
      <c r="L18" s="1">
        <v>263.31739099999999</v>
      </c>
      <c r="M18" s="1">
        <v>0</v>
      </c>
      <c r="N18" s="1">
        <v>52.161802999999999</v>
      </c>
      <c r="O18" s="1">
        <v>315.47919400000001</v>
      </c>
      <c r="P18" s="1">
        <f t="shared" si="0"/>
        <v>320.16438700000003</v>
      </c>
      <c r="Q18" s="1">
        <f t="shared" si="1"/>
        <v>360.68024500000001</v>
      </c>
      <c r="R18" s="1">
        <f t="shared" si="2"/>
        <v>315.47919400000001</v>
      </c>
      <c r="S18" s="1">
        <f t="shared" si="3"/>
        <v>332.10794200000004</v>
      </c>
      <c r="T18" t="str">
        <f t="shared" si="4"/>
        <v>3YRS_AVG</v>
      </c>
      <c r="U18" s="1">
        <f t="shared" si="5"/>
        <v>332.10794200000004</v>
      </c>
      <c r="V18" s="1">
        <f t="shared" si="6"/>
        <v>282.23150099999998</v>
      </c>
      <c r="W18" s="1">
        <f t="shared" si="7"/>
        <v>282.23150099999998</v>
      </c>
      <c r="X18" s="1">
        <f t="shared" si="8"/>
        <v>0</v>
      </c>
      <c r="Y18" s="1">
        <f t="shared" si="9"/>
        <v>0</v>
      </c>
      <c r="Z18" s="1">
        <f t="shared" si="10"/>
        <v>49.876441</v>
      </c>
      <c r="AA18" s="1">
        <f t="shared" si="11"/>
        <v>49.876441</v>
      </c>
      <c r="AB18" s="1">
        <f t="shared" si="12"/>
        <v>332.10794200000004</v>
      </c>
      <c r="AC18" s="1">
        <f t="shared" si="13"/>
        <v>332.10794200000004</v>
      </c>
    </row>
    <row r="19" spans="1:29" x14ac:dyDescent="0.25">
      <c r="A19">
        <v>51144</v>
      </c>
      <c r="B19" t="s">
        <v>132</v>
      </c>
      <c r="C19" t="s">
        <v>216</v>
      </c>
      <c r="D19" s="1">
        <v>433.666067</v>
      </c>
      <c r="E19" s="1">
        <v>0</v>
      </c>
      <c r="F19" s="1">
        <v>96.023912999999993</v>
      </c>
      <c r="G19" s="1">
        <v>529.689258</v>
      </c>
      <c r="H19" s="1">
        <v>466.67444599999999</v>
      </c>
      <c r="I19" s="1">
        <v>0</v>
      </c>
      <c r="J19" s="1">
        <v>95.451364999999996</v>
      </c>
      <c r="K19" s="1">
        <v>562.125811</v>
      </c>
      <c r="L19" s="1">
        <v>419.68448000000001</v>
      </c>
      <c r="M19" s="1">
        <v>0</v>
      </c>
      <c r="N19" s="1">
        <v>105.468638</v>
      </c>
      <c r="O19" s="1">
        <v>525.15311799999995</v>
      </c>
      <c r="P19" s="1">
        <f t="shared" si="0"/>
        <v>529.68997999999999</v>
      </c>
      <c r="Q19" s="1">
        <f t="shared" si="1"/>
        <v>562.125811</v>
      </c>
      <c r="R19" s="1">
        <f t="shared" si="2"/>
        <v>525.15311799999995</v>
      </c>
      <c r="S19" s="1">
        <f t="shared" si="3"/>
        <v>538.98963633333335</v>
      </c>
      <c r="T19" t="str">
        <f t="shared" si="4"/>
        <v>3YRS_AVG</v>
      </c>
      <c r="U19" s="1">
        <f t="shared" si="5"/>
        <v>538.98963633333335</v>
      </c>
      <c r="V19" s="1">
        <f t="shared" si="6"/>
        <v>440.008331</v>
      </c>
      <c r="W19" s="1">
        <f t="shared" si="7"/>
        <v>440.008331</v>
      </c>
      <c r="X19" s="1">
        <f t="shared" si="8"/>
        <v>0</v>
      </c>
      <c r="Y19" s="1">
        <f t="shared" si="9"/>
        <v>0</v>
      </c>
      <c r="Z19" s="1">
        <f t="shared" si="10"/>
        <v>98.981305333333339</v>
      </c>
      <c r="AA19" s="1">
        <f t="shared" si="11"/>
        <v>98.981305333333339</v>
      </c>
      <c r="AB19" s="1">
        <f t="shared" si="12"/>
        <v>538.98939566666661</v>
      </c>
      <c r="AC19" s="1">
        <f t="shared" si="13"/>
        <v>538.98939566666661</v>
      </c>
    </row>
    <row r="20" spans="1:29" x14ac:dyDescent="0.25">
      <c r="A20">
        <v>51169</v>
      </c>
      <c r="B20" t="s">
        <v>134</v>
      </c>
      <c r="C20" t="s">
        <v>217</v>
      </c>
      <c r="D20" s="1">
        <v>328.44931300000002</v>
      </c>
      <c r="E20" s="1">
        <v>0</v>
      </c>
      <c r="F20" s="1">
        <v>14.666361999999999</v>
      </c>
      <c r="G20" s="1">
        <v>343.11567500000001</v>
      </c>
      <c r="H20" s="1">
        <v>342.30292400000002</v>
      </c>
      <c r="I20" s="1">
        <v>0</v>
      </c>
      <c r="J20" s="1">
        <v>26.033313999999997</v>
      </c>
      <c r="K20" s="1">
        <v>368.33623799999998</v>
      </c>
      <c r="L20" s="1">
        <v>300.63471700000002</v>
      </c>
      <c r="M20" s="1">
        <v>0</v>
      </c>
      <c r="N20" s="1">
        <v>15.738795999999999</v>
      </c>
      <c r="O20" s="1">
        <v>316.373513</v>
      </c>
      <c r="P20" s="1">
        <f t="shared" si="0"/>
        <v>343.11567500000001</v>
      </c>
      <c r="Q20" s="1">
        <f t="shared" si="1"/>
        <v>368.33623800000004</v>
      </c>
      <c r="R20" s="1">
        <f t="shared" si="2"/>
        <v>316.373513</v>
      </c>
      <c r="S20" s="1">
        <f t="shared" si="3"/>
        <v>342.60847533333339</v>
      </c>
      <c r="T20" t="str">
        <f t="shared" si="4"/>
        <v>3YRS_AVG</v>
      </c>
      <c r="U20" s="1">
        <f t="shared" si="5"/>
        <v>342.60847533333339</v>
      </c>
      <c r="V20" s="1">
        <f t="shared" si="6"/>
        <v>323.79565133333335</v>
      </c>
      <c r="W20" s="1">
        <f t="shared" si="7"/>
        <v>323.79565133333335</v>
      </c>
      <c r="X20" s="1">
        <f t="shared" si="8"/>
        <v>0</v>
      </c>
      <c r="Y20" s="1">
        <f t="shared" si="9"/>
        <v>0</v>
      </c>
      <c r="Z20" s="1">
        <f t="shared" si="10"/>
        <v>18.812823999999999</v>
      </c>
      <c r="AA20" s="1">
        <f t="shared" si="11"/>
        <v>18.812823999999999</v>
      </c>
      <c r="AB20" s="1">
        <f t="shared" si="12"/>
        <v>342.60847533333327</v>
      </c>
      <c r="AC20" s="1">
        <f t="shared" si="13"/>
        <v>342.60847533333327</v>
      </c>
    </row>
    <row r="21" spans="1:29" x14ac:dyDescent="0.25">
      <c r="A21">
        <v>51185</v>
      </c>
      <c r="B21" t="s">
        <v>136</v>
      </c>
      <c r="C21" t="s">
        <v>218</v>
      </c>
      <c r="D21" s="1">
        <v>499.52787599999999</v>
      </c>
      <c r="E21" s="1">
        <v>16.263832999999998</v>
      </c>
      <c r="F21" s="1">
        <v>50.927368999999999</v>
      </c>
      <c r="G21" s="1">
        <v>537.81237899999996</v>
      </c>
      <c r="H21" s="1">
        <v>561.35295599999995</v>
      </c>
      <c r="I21" s="1">
        <v>12.085396999999999</v>
      </c>
      <c r="J21" s="1">
        <v>38.314088999999996</v>
      </c>
      <c r="K21" s="1">
        <v>585.95780600000001</v>
      </c>
      <c r="L21" s="1">
        <v>580.63149199999998</v>
      </c>
      <c r="M21" s="1">
        <v>15.285342999999999</v>
      </c>
      <c r="N21" s="1">
        <v>29.570858999999999</v>
      </c>
      <c r="O21" s="1">
        <v>595.08313299999998</v>
      </c>
      <c r="P21" s="1">
        <f t="shared" si="0"/>
        <v>566.71907799999997</v>
      </c>
      <c r="Q21" s="1">
        <f t="shared" si="1"/>
        <v>611.75244199999986</v>
      </c>
      <c r="R21" s="1">
        <f t="shared" si="2"/>
        <v>625.48769400000003</v>
      </c>
      <c r="S21" s="1">
        <f t="shared" si="3"/>
        <v>601.31973800000003</v>
      </c>
      <c r="T21" t="str">
        <f t="shared" si="4"/>
        <v>FY21</v>
      </c>
      <c r="U21" s="1">
        <f t="shared" si="5"/>
        <v>625.48769400000003</v>
      </c>
      <c r="V21" s="1">
        <f t="shared" si="6"/>
        <v>547.1707746666666</v>
      </c>
      <c r="W21" s="1">
        <f t="shared" si="7"/>
        <v>580.63149199999998</v>
      </c>
      <c r="X21" s="1">
        <f t="shared" si="8"/>
        <v>43.634572999999996</v>
      </c>
      <c r="Y21" s="1">
        <f t="shared" si="9"/>
        <v>15.285342999999999</v>
      </c>
      <c r="Z21" s="1">
        <f t="shared" si="10"/>
        <v>39.604105666666662</v>
      </c>
      <c r="AA21" s="1">
        <f t="shared" si="11"/>
        <v>29.570858999999999</v>
      </c>
      <c r="AB21" s="1">
        <f t="shared" si="12"/>
        <v>572.95110599999998</v>
      </c>
      <c r="AC21" s="1">
        <f t="shared" si="13"/>
        <v>595.08313299999998</v>
      </c>
    </row>
    <row r="22" spans="1:29" x14ac:dyDescent="0.25">
      <c r="A22">
        <v>51201</v>
      </c>
      <c r="B22" t="s">
        <v>138</v>
      </c>
      <c r="C22" t="s">
        <v>219</v>
      </c>
      <c r="D22" s="1">
        <v>601.22965299999998</v>
      </c>
      <c r="E22" s="1">
        <v>33.541354999999996</v>
      </c>
      <c r="F22" s="1">
        <v>177.82126499999998</v>
      </c>
      <c r="G22" s="1">
        <v>695.73062200000004</v>
      </c>
      <c r="H22" s="1">
        <v>668.76896999999997</v>
      </c>
      <c r="I22" s="1">
        <v>30.349516999999999</v>
      </c>
      <c r="J22" s="1">
        <v>193.76428899999999</v>
      </c>
      <c r="K22" s="1">
        <v>763.50599</v>
      </c>
      <c r="L22" s="1">
        <v>602.76475300000004</v>
      </c>
      <c r="M22" s="1">
        <v>42.675553999999998</v>
      </c>
      <c r="N22" s="1">
        <v>178.03623399999998</v>
      </c>
      <c r="O22" s="1">
        <v>716.98924699999998</v>
      </c>
      <c r="P22" s="1">
        <f t="shared" si="0"/>
        <v>812.59227299999998</v>
      </c>
      <c r="Q22" s="1">
        <f t="shared" si="1"/>
        <v>892.88277599999992</v>
      </c>
      <c r="R22" s="1">
        <f t="shared" si="2"/>
        <v>823.476541</v>
      </c>
      <c r="S22" s="1">
        <f t="shared" si="3"/>
        <v>842.98386333333326</v>
      </c>
      <c r="T22" t="str">
        <f t="shared" si="4"/>
        <v>3YRS_AVG</v>
      </c>
      <c r="U22" s="1">
        <f t="shared" si="5"/>
        <v>842.98386333333326</v>
      </c>
      <c r="V22" s="1">
        <f t="shared" si="6"/>
        <v>624.25445866666666</v>
      </c>
      <c r="W22" s="1">
        <f t="shared" si="7"/>
        <v>624.25445866666666</v>
      </c>
      <c r="X22" s="1">
        <f t="shared" si="8"/>
        <v>106.56642599999999</v>
      </c>
      <c r="Y22" s="1">
        <f t="shared" si="9"/>
        <v>106.56642599999999</v>
      </c>
      <c r="Z22" s="1">
        <f t="shared" si="10"/>
        <v>183.20726266666665</v>
      </c>
      <c r="AA22" s="1">
        <f t="shared" si="11"/>
        <v>183.20726266666665</v>
      </c>
      <c r="AB22" s="1">
        <f t="shared" si="12"/>
        <v>725.40861966666671</v>
      </c>
      <c r="AC22" s="1">
        <f t="shared" si="13"/>
        <v>725.40861966666671</v>
      </c>
    </row>
    <row r="23" spans="1:29" x14ac:dyDescent="0.25">
      <c r="A23">
        <v>51227</v>
      </c>
      <c r="B23" t="s">
        <v>140</v>
      </c>
      <c r="C23" t="s">
        <v>220</v>
      </c>
      <c r="D23" s="1">
        <v>851.898912</v>
      </c>
      <c r="E23" s="1">
        <v>0</v>
      </c>
      <c r="F23" s="1">
        <v>119.938479</v>
      </c>
      <c r="G23" s="1">
        <v>969.45998199999997</v>
      </c>
      <c r="H23" s="1">
        <v>972.37370699999997</v>
      </c>
      <c r="I23" s="1">
        <v>1.6468999999999998E-2</v>
      </c>
      <c r="J23" s="1">
        <v>118.43028100000001</v>
      </c>
      <c r="K23" s="1">
        <v>1088.7754789999999</v>
      </c>
      <c r="L23" s="1">
        <v>1037.6686239999999</v>
      </c>
      <c r="M23" s="1">
        <v>0.429842</v>
      </c>
      <c r="N23" s="1">
        <v>138.891536</v>
      </c>
      <c r="O23" s="1">
        <v>1174.772434</v>
      </c>
      <c r="P23" s="1">
        <f t="shared" si="0"/>
        <v>971.83739100000003</v>
      </c>
      <c r="Q23" s="1">
        <f t="shared" si="1"/>
        <v>1090.820457</v>
      </c>
      <c r="R23" s="1">
        <f t="shared" si="2"/>
        <v>1176.990002</v>
      </c>
      <c r="S23" s="1">
        <f t="shared" si="3"/>
        <v>1079.8826166666665</v>
      </c>
      <c r="T23" t="str">
        <f t="shared" si="4"/>
        <v>FY21</v>
      </c>
      <c r="U23" s="1">
        <f t="shared" si="5"/>
        <v>1176.990002</v>
      </c>
      <c r="V23" s="1">
        <f t="shared" si="6"/>
        <v>953.98041433333321</v>
      </c>
      <c r="W23" s="1">
        <f t="shared" si="7"/>
        <v>1037.6686239999999</v>
      </c>
      <c r="X23" s="1">
        <f t="shared" si="8"/>
        <v>0.44631100000000001</v>
      </c>
      <c r="Y23" s="1">
        <f t="shared" si="9"/>
        <v>0.429842</v>
      </c>
      <c r="Z23" s="1">
        <f t="shared" si="10"/>
        <v>125.75343200000002</v>
      </c>
      <c r="AA23" s="1">
        <f t="shared" si="11"/>
        <v>138.891536</v>
      </c>
      <c r="AB23" s="1">
        <f t="shared" si="12"/>
        <v>1077.6692983333332</v>
      </c>
      <c r="AC23" s="1">
        <f t="shared" si="13"/>
        <v>1174.772434</v>
      </c>
    </row>
    <row r="24" spans="1:29" x14ac:dyDescent="0.25">
      <c r="A24">
        <v>51243</v>
      </c>
      <c r="B24" t="s">
        <v>142</v>
      </c>
      <c r="C24" t="s">
        <v>221</v>
      </c>
      <c r="D24" s="1">
        <v>656.90926899999999</v>
      </c>
      <c r="E24" s="1">
        <v>1.236154</v>
      </c>
      <c r="F24" s="1">
        <v>65.570959999999999</v>
      </c>
      <c r="G24" s="1">
        <v>719.57136700000001</v>
      </c>
      <c r="H24" s="1">
        <v>667.87782200000004</v>
      </c>
      <c r="I24" s="1">
        <v>1.5602779999999998</v>
      </c>
      <c r="J24" s="1">
        <v>81.250962999999999</v>
      </c>
      <c r="K24" s="1">
        <v>745.82781599999998</v>
      </c>
      <c r="L24" s="1">
        <v>668.44926599999997</v>
      </c>
      <c r="M24" s="1">
        <v>1.0890689999999998</v>
      </c>
      <c r="N24" s="1">
        <v>72.640749</v>
      </c>
      <c r="O24" s="1">
        <v>738.84086400000001</v>
      </c>
      <c r="P24" s="1">
        <f t="shared" si="0"/>
        <v>723.71638300000006</v>
      </c>
      <c r="Q24" s="1">
        <f t="shared" si="1"/>
        <v>750.68906300000003</v>
      </c>
      <c r="R24" s="1">
        <f t="shared" si="2"/>
        <v>742.17908399999999</v>
      </c>
      <c r="S24" s="1">
        <f t="shared" si="3"/>
        <v>738.86151000000007</v>
      </c>
      <c r="T24" t="str">
        <f t="shared" si="4"/>
        <v>FY21</v>
      </c>
      <c r="U24" s="1">
        <f t="shared" si="5"/>
        <v>742.17908399999999</v>
      </c>
      <c r="V24" s="1">
        <f t="shared" si="6"/>
        <v>664.41211900000008</v>
      </c>
      <c r="W24" s="1">
        <f t="shared" si="7"/>
        <v>668.44926599999997</v>
      </c>
      <c r="X24" s="1">
        <f t="shared" si="8"/>
        <v>3.8855009999999996</v>
      </c>
      <c r="Y24" s="1">
        <f t="shared" si="9"/>
        <v>1.0890689999999998</v>
      </c>
      <c r="Z24" s="1">
        <f t="shared" si="10"/>
        <v>73.154223999999999</v>
      </c>
      <c r="AA24" s="1">
        <f t="shared" si="11"/>
        <v>72.640749</v>
      </c>
      <c r="AB24" s="1">
        <f t="shared" si="12"/>
        <v>734.74668233333341</v>
      </c>
      <c r="AC24" s="1">
        <f t="shared" si="13"/>
        <v>738.84086400000001</v>
      </c>
    </row>
    <row r="25" spans="1:29" x14ac:dyDescent="0.25">
      <c r="A25">
        <v>51284</v>
      </c>
      <c r="B25" t="s">
        <v>144</v>
      </c>
      <c r="C25" t="s">
        <v>222</v>
      </c>
      <c r="D25" s="1">
        <v>1729.1838190000001</v>
      </c>
      <c r="E25" s="1">
        <v>15.355291999999999</v>
      </c>
      <c r="F25" s="1">
        <v>280.55007000000001</v>
      </c>
      <c r="G25" s="1">
        <v>1943.183078</v>
      </c>
      <c r="H25" s="1">
        <v>1790.655945</v>
      </c>
      <c r="I25" s="1">
        <v>21.708324999999999</v>
      </c>
      <c r="J25" s="1">
        <v>282.38877000000002</v>
      </c>
      <c r="K25" s="1">
        <v>1986.938476</v>
      </c>
      <c r="L25" s="1">
        <v>1739.3996099999999</v>
      </c>
      <c r="M25" s="1">
        <v>13.663551</v>
      </c>
      <c r="N25" s="1">
        <v>275.71511299999997</v>
      </c>
      <c r="O25" s="1">
        <v>1932.213395</v>
      </c>
      <c r="P25" s="1">
        <f t="shared" si="0"/>
        <v>2025.0891810000001</v>
      </c>
      <c r="Q25" s="1">
        <f t="shared" si="1"/>
        <v>2094.7530400000001</v>
      </c>
      <c r="R25" s="1">
        <f t="shared" si="2"/>
        <v>2028.778274</v>
      </c>
      <c r="S25" s="1">
        <f t="shared" si="3"/>
        <v>2049.5401649999999</v>
      </c>
      <c r="T25" t="str">
        <f t="shared" si="4"/>
        <v>3YRS_AVG</v>
      </c>
      <c r="U25" s="1">
        <f t="shared" si="5"/>
        <v>2049.5401649999999</v>
      </c>
      <c r="V25" s="1">
        <f t="shared" si="6"/>
        <v>1753.0797913333336</v>
      </c>
      <c r="W25" s="1">
        <f t="shared" si="7"/>
        <v>1753.0797913333336</v>
      </c>
      <c r="X25" s="1">
        <f t="shared" si="8"/>
        <v>50.727167999999992</v>
      </c>
      <c r="Y25" s="1">
        <f t="shared" si="9"/>
        <v>50.727167999999992</v>
      </c>
      <c r="Z25" s="1">
        <f t="shared" si="10"/>
        <v>279.55131766666665</v>
      </c>
      <c r="AA25" s="1">
        <f t="shared" si="11"/>
        <v>279.55131766666665</v>
      </c>
      <c r="AB25" s="1">
        <f t="shared" si="12"/>
        <v>1954.1116496666666</v>
      </c>
      <c r="AC25" s="1">
        <f t="shared" si="13"/>
        <v>1954.1116496666666</v>
      </c>
    </row>
    <row r="26" spans="1:29" x14ac:dyDescent="0.25">
      <c r="A26">
        <v>51300</v>
      </c>
      <c r="B26" t="s">
        <v>146</v>
      </c>
      <c r="C26" t="s">
        <v>223</v>
      </c>
      <c r="D26" s="1">
        <v>895.31037500000002</v>
      </c>
      <c r="E26" s="1">
        <v>6.7803019999999998</v>
      </c>
      <c r="F26" s="1">
        <v>201.668643</v>
      </c>
      <c r="G26" s="1">
        <v>1075.545936</v>
      </c>
      <c r="H26" s="1">
        <v>870.041156</v>
      </c>
      <c r="I26" s="1">
        <v>3.900188</v>
      </c>
      <c r="J26" s="1">
        <v>197.55919599999999</v>
      </c>
      <c r="K26" s="1">
        <v>1055.542375</v>
      </c>
      <c r="L26" s="1">
        <v>793.09756600000003</v>
      </c>
      <c r="M26" s="1">
        <v>3.5965249999999997</v>
      </c>
      <c r="N26" s="1">
        <v>187.37221699999998</v>
      </c>
      <c r="O26" s="1">
        <v>972.55920500000002</v>
      </c>
      <c r="P26" s="1">
        <f t="shared" si="0"/>
        <v>1103.7593200000001</v>
      </c>
      <c r="Q26" s="1">
        <f t="shared" si="1"/>
        <v>1071.50054</v>
      </c>
      <c r="R26" s="1">
        <f t="shared" si="2"/>
        <v>984.06630800000005</v>
      </c>
      <c r="S26" s="1">
        <f t="shared" si="3"/>
        <v>1053.1087226666666</v>
      </c>
      <c r="T26" t="str">
        <f t="shared" si="4"/>
        <v>3YRS_AVG</v>
      </c>
      <c r="U26" s="1">
        <f t="shared" si="5"/>
        <v>1053.1087226666666</v>
      </c>
      <c r="V26" s="1">
        <f t="shared" si="6"/>
        <v>852.81636566666668</v>
      </c>
      <c r="W26" s="1">
        <f t="shared" si="7"/>
        <v>852.81636566666668</v>
      </c>
      <c r="X26" s="1">
        <f t="shared" si="8"/>
        <v>14.277014999999999</v>
      </c>
      <c r="Y26" s="1">
        <f t="shared" si="9"/>
        <v>14.277014999999999</v>
      </c>
      <c r="Z26" s="1">
        <f t="shared" si="10"/>
        <v>195.53335200000001</v>
      </c>
      <c r="AA26" s="1">
        <f t="shared" si="11"/>
        <v>195.53335200000001</v>
      </c>
      <c r="AB26" s="1">
        <f t="shared" si="12"/>
        <v>1034.549172</v>
      </c>
      <c r="AC26" s="1">
        <f t="shared" si="13"/>
        <v>1034.549172</v>
      </c>
    </row>
    <row r="27" spans="1:29" x14ac:dyDescent="0.25">
      <c r="A27">
        <v>51334</v>
      </c>
      <c r="B27" t="s">
        <v>148</v>
      </c>
      <c r="C27" t="s">
        <v>224</v>
      </c>
      <c r="D27" s="1">
        <v>758.73297600000001</v>
      </c>
      <c r="E27" s="1">
        <v>21.430792</v>
      </c>
      <c r="F27" s="1">
        <v>156.772638</v>
      </c>
      <c r="G27" s="1">
        <v>832.68734700000005</v>
      </c>
      <c r="H27" s="1">
        <v>778.12282100000004</v>
      </c>
      <c r="I27" s="1">
        <v>24.098206999999999</v>
      </c>
      <c r="J27" s="1">
        <v>155.71798699999999</v>
      </c>
      <c r="K27" s="1">
        <v>856.00015199999996</v>
      </c>
      <c r="L27" s="1">
        <v>721.17303300000003</v>
      </c>
      <c r="M27" s="1">
        <v>14.838412999999999</v>
      </c>
      <c r="N27" s="1">
        <v>144.19878699999998</v>
      </c>
      <c r="O27" s="1">
        <v>791.342578</v>
      </c>
      <c r="P27" s="1">
        <f t="shared" si="0"/>
        <v>936.93640600000003</v>
      </c>
      <c r="Q27" s="1">
        <f t="shared" si="1"/>
        <v>957.93901500000004</v>
      </c>
      <c r="R27" s="1">
        <f t="shared" si="2"/>
        <v>880.21023300000002</v>
      </c>
      <c r="S27" s="1">
        <f t="shared" si="3"/>
        <v>925.02855133333344</v>
      </c>
      <c r="T27" t="str">
        <f t="shared" si="4"/>
        <v>3YRS_AVG</v>
      </c>
      <c r="U27" s="1">
        <f t="shared" si="5"/>
        <v>925.02855133333344</v>
      </c>
      <c r="V27" s="1">
        <f t="shared" si="6"/>
        <v>752.67627666666669</v>
      </c>
      <c r="W27" s="1">
        <f t="shared" si="7"/>
        <v>752.67627666666669</v>
      </c>
      <c r="X27" s="1">
        <f t="shared" si="8"/>
        <v>60.367412000000002</v>
      </c>
      <c r="Y27" s="1">
        <f t="shared" si="9"/>
        <v>60.367412000000002</v>
      </c>
      <c r="Z27" s="1">
        <f t="shared" si="10"/>
        <v>152.229804</v>
      </c>
      <c r="AA27" s="1">
        <f t="shared" si="11"/>
        <v>152.229804</v>
      </c>
      <c r="AB27" s="1">
        <f t="shared" si="12"/>
        <v>826.67669233333345</v>
      </c>
      <c r="AC27" s="1">
        <f t="shared" si="13"/>
        <v>826.67669233333345</v>
      </c>
    </row>
    <row r="28" spans="1:29" x14ac:dyDescent="0.25">
      <c r="A28">
        <v>51359</v>
      </c>
      <c r="B28" t="s">
        <v>150</v>
      </c>
      <c r="C28" t="s">
        <v>225</v>
      </c>
      <c r="D28" s="1">
        <v>1690.855585</v>
      </c>
      <c r="E28" s="1">
        <v>15.440856999999999</v>
      </c>
      <c r="F28" s="1">
        <v>148.903672</v>
      </c>
      <c r="G28" s="1">
        <v>1749.3603089999999</v>
      </c>
      <c r="H28" s="1">
        <v>1701.429065</v>
      </c>
      <c r="I28" s="1">
        <v>13.21923</v>
      </c>
      <c r="J28" s="1">
        <v>194.95846999999998</v>
      </c>
      <c r="K28" s="1">
        <v>1804.8521129999999</v>
      </c>
      <c r="L28" s="1">
        <v>1759.5317359999999</v>
      </c>
      <c r="M28" s="1">
        <v>10.462486</v>
      </c>
      <c r="N28" s="1">
        <v>161.876779</v>
      </c>
      <c r="O28" s="1">
        <v>1828.2958779999999</v>
      </c>
      <c r="P28" s="1">
        <f t="shared" si="0"/>
        <v>1855.200114</v>
      </c>
      <c r="Q28" s="1">
        <f t="shared" si="1"/>
        <v>1909.606765</v>
      </c>
      <c r="R28" s="1">
        <f t="shared" si="2"/>
        <v>1931.8710009999998</v>
      </c>
      <c r="S28" s="1">
        <f t="shared" si="3"/>
        <v>1898.8926266666665</v>
      </c>
      <c r="T28" t="str">
        <f t="shared" si="4"/>
        <v>FY21</v>
      </c>
      <c r="U28" s="1">
        <f t="shared" si="5"/>
        <v>1931.8710009999998</v>
      </c>
      <c r="V28" s="1">
        <f t="shared" si="6"/>
        <v>1717.2721286666667</v>
      </c>
      <c r="W28" s="1">
        <f t="shared" si="7"/>
        <v>1759.5317359999999</v>
      </c>
      <c r="X28" s="1">
        <f t="shared" si="8"/>
        <v>39.122572999999996</v>
      </c>
      <c r="Y28" s="1">
        <f t="shared" si="9"/>
        <v>10.462486</v>
      </c>
      <c r="Z28" s="1">
        <f t="shared" si="10"/>
        <v>168.57964033333332</v>
      </c>
      <c r="AA28" s="1">
        <f t="shared" si="11"/>
        <v>161.876779</v>
      </c>
      <c r="AB28" s="1">
        <f t="shared" si="12"/>
        <v>1794.1694333333332</v>
      </c>
      <c r="AC28" s="1">
        <f t="shared" si="13"/>
        <v>1828.2958779999999</v>
      </c>
    </row>
    <row r="29" spans="1:29" x14ac:dyDescent="0.25">
      <c r="A29">
        <v>51375</v>
      </c>
      <c r="B29" t="s">
        <v>152</v>
      </c>
      <c r="C29" t="s">
        <v>226</v>
      </c>
      <c r="D29" s="1">
        <v>341.46568500000001</v>
      </c>
      <c r="E29" s="1">
        <v>0.96082000000000001</v>
      </c>
      <c r="F29" s="1">
        <v>94.653234999999995</v>
      </c>
      <c r="G29" s="1">
        <v>424.50752899999998</v>
      </c>
      <c r="H29" s="1">
        <v>313.555926</v>
      </c>
      <c r="I29" s="1">
        <v>0.60943999999999998</v>
      </c>
      <c r="J29" s="1">
        <v>87.884958999999995</v>
      </c>
      <c r="K29" s="1">
        <v>393.68683499999997</v>
      </c>
      <c r="L29" s="1">
        <v>296.280238</v>
      </c>
      <c r="M29" s="1">
        <v>0.24226299999999998</v>
      </c>
      <c r="N29" s="1">
        <v>83.581954999999994</v>
      </c>
      <c r="O29" s="1">
        <v>376.73369200000002</v>
      </c>
      <c r="P29" s="1">
        <f t="shared" si="0"/>
        <v>437.07974000000002</v>
      </c>
      <c r="Q29" s="1">
        <f t="shared" si="1"/>
        <v>402.05032499999999</v>
      </c>
      <c r="R29" s="1">
        <f t="shared" si="2"/>
        <v>380.10445599999997</v>
      </c>
      <c r="S29" s="1">
        <f t="shared" si="3"/>
        <v>406.41150700000003</v>
      </c>
      <c r="T29" t="str">
        <f t="shared" si="4"/>
        <v>3YRS_AVG</v>
      </c>
      <c r="U29" s="1">
        <f t="shared" si="5"/>
        <v>406.41150700000003</v>
      </c>
      <c r="V29" s="1">
        <f t="shared" si="6"/>
        <v>317.10061633333333</v>
      </c>
      <c r="W29" s="1">
        <f t="shared" si="7"/>
        <v>317.10061633333333</v>
      </c>
      <c r="X29" s="1">
        <f t="shared" si="8"/>
        <v>1.8125229999999999</v>
      </c>
      <c r="Y29" s="1">
        <f t="shared" si="9"/>
        <v>1.8125229999999999</v>
      </c>
      <c r="Z29" s="1">
        <f t="shared" si="10"/>
        <v>88.706716333333318</v>
      </c>
      <c r="AA29" s="1">
        <f t="shared" si="11"/>
        <v>88.706716333333318</v>
      </c>
      <c r="AB29" s="1">
        <f t="shared" si="12"/>
        <v>398.30935199999999</v>
      </c>
      <c r="AC29" s="1">
        <f t="shared" si="13"/>
        <v>398.30935199999999</v>
      </c>
    </row>
    <row r="30" spans="1:29" x14ac:dyDescent="0.25">
      <c r="A30">
        <v>51391</v>
      </c>
      <c r="B30" t="s">
        <v>154</v>
      </c>
      <c r="C30" t="s">
        <v>227</v>
      </c>
      <c r="D30" s="1">
        <v>420.47745900000001</v>
      </c>
      <c r="E30" s="1">
        <v>0</v>
      </c>
      <c r="F30" s="1">
        <v>195.27946</v>
      </c>
      <c r="G30" s="1">
        <v>615.75691900000004</v>
      </c>
      <c r="H30" s="1">
        <v>387.21768099999997</v>
      </c>
      <c r="I30" s="1">
        <v>0</v>
      </c>
      <c r="J30" s="1">
        <v>198.63147099999998</v>
      </c>
      <c r="K30" s="1">
        <v>585.849152</v>
      </c>
      <c r="L30" s="1">
        <v>406.50506300000001</v>
      </c>
      <c r="M30" s="1">
        <v>0</v>
      </c>
      <c r="N30" s="1">
        <v>190.22613100000001</v>
      </c>
      <c r="O30" s="1">
        <v>596.73119399999996</v>
      </c>
      <c r="P30" s="1">
        <f t="shared" si="0"/>
        <v>615.75691900000004</v>
      </c>
      <c r="Q30" s="1">
        <f t="shared" si="1"/>
        <v>585.849152</v>
      </c>
      <c r="R30" s="1">
        <f t="shared" si="2"/>
        <v>596.73119399999996</v>
      </c>
      <c r="S30" s="1">
        <f t="shared" si="3"/>
        <v>599.44575500000008</v>
      </c>
      <c r="T30" t="str">
        <f t="shared" si="4"/>
        <v>3YRS_AVG</v>
      </c>
      <c r="U30" s="1">
        <f t="shared" si="5"/>
        <v>599.44575500000008</v>
      </c>
      <c r="V30" s="1">
        <f t="shared" si="6"/>
        <v>404.73340100000001</v>
      </c>
      <c r="W30" s="1">
        <f t="shared" si="7"/>
        <v>404.73340100000001</v>
      </c>
      <c r="X30" s="1">
        <f t="shared" si="8"/>
        <v>0</v>
      </c>
      <c r="Y30" s="1">
        <f t="shared" si="9"/>
        <v>0</v>
      </c>
      <c r="Z30" s="1">
        <f t="shared" si="10"/>
        <v>194.712354</v>
      </c>
      <c r="AA30" s="1">
        <f t="shared" si="11"/>
        <v>194.712354</v>
      </c>
      <c r="AB30" s="1">
        <f t="shared" si="12"/>
        <v>599.44575500000008</v>
      </c>
      <c r="AC30" s="1">
        <f t="shared" si="13"/>
        <v>599.44575500000008</v>
      </c>
    </row>
    <row r="31" spans="1:29" x14ac:dyDescent="0.25">
      <c r="A31">
        <v>51417</v>
      </c>
      <c r="B31" t="s">
        <v>156</v>
      </c>
      <c r="C31" t="s">
        <v>228</v>
      </c>
      <c r="D31" s="1">
        <v>1124.6948359999999</v>
      </c>
      <c r="E31" s="1">
        <v>8.7665989999999994</v>
      </c>
      <c r="F31" s="1">
        <v>153.74990600000001</v>
      </c>
      <c r="G31" s="1">
        <v>1218.67497</v>
      </c>
      <c r="H31" s="1">
        <v>1106.373756</v>
      </c>
      <c r="I31" s="1">
        <v>8.4765569999999997</v>
      </c>
      <c r="J31" s="1">
        <v>154.58696399999999</v>
      </c>
      <c r="K31" s="1">
        <v>1201.7623639999999</v>
      </c>
      <c r="L31" s="1">
        <v>1086.069313</v>
      </c>
      <c r="M31" s="1">
        <v>13.152403999999999</v>
      </c>
      <c r="N31" s="1">
        <v>168.53116199999999</v>
      </c>
      <c r="O31" s="1">
        <v>1207.6907200000001</v>
      </c>
      <c r="P31" s="1">
        <f t="shared" si="0"/>
        <v>1287.2113409999999</v>
      </c>
      <c r="Q31" s="1">
        <f t="shared" si="1"/>
        <v>1269.437277</v>
      </c>
      <c r="R31" s="1">
        <f t="shared" si="2"/>
        <v>1267.7528789999999</v>
      </c>
      <c r="S31" s="1">
        <f t="shared" si="3"/>
        <v>1274.8004989999999</v>
      </c>
      <c r="T31" t="str">
        <f t="shared" si="4"/>
        <v>3YRS_AVG</v>
      </c>
      <c r="U31" s="1">
        <f t="shared" si="5"/>
        <v>1274.8004989999999</v>
      </c>
      <c r="V31" s="1">
        <f t="shared" si="6"/>
        <v>1105.7126349999999</v>
      </c>
      <c r="W31" s="1">
        <f t="shared" si="7"/>
        <v>1105.7126349999999</v>
      </c>
      <c r="X31" s="1">
        <f t="shared" si="8"/>
        <v>30.395559999999996</v>
      </c>
      <c r="Y31" s="1">
        <f t="shared" si="9"/>
        <v>30.395559999999996</v>
      </c>
      <c r="Z31" s="1">
        <f t="shared" si="10"/>
        <v>158.95601066666666</v>
      </c>
      <c r="AA31" s="1">
        <f t="shared" si="11"/>
        <v>158.95601066666666</v>
      </c>
      <c r="AB31" s="1">
        <f t="shared" si="12"/>
        <v>1209.3760180000002</v>
      </c>
      <c r="AC31" s="1">
        <f t="shared" si="13"/>
        <v>1209.3760180000002</v>
      </c>
    </row>
    <row r="32" spans="1:29" x14ac:dyDescent="0.25">
      <c r="A32">
        <v>51433</v>
      </c>
      <c r="B32" t="s">
        <v>158</v>
      </c>
      <c r="C32" t="s">
        <v>229</v>
      </c>
      <c r="D32" s="1">
        <v>930.35405200000002</v>
      </c>
      <c r="E32" s="1">
        <v>7.2950599999999994</v>
      </c>
      <c r="F32" s="1">
        <v>158.92924099999999</v>
      </c>
      <c r="G32" s="1">
        <v>1036.872441</v>
      </c>
      <c r="H32" s="1">
        <v>906.42520200000001</v>
      </c>
      <c r="I32" s="1">
        <v>3.5843559999999997</v>
      </c>
      <c r="J32" s="1">
        <v>170.247094</v>
      </c>
      <c r="K32" s="1">
        <v>1028.4290470000001</v>
      </c>
      <c r="L32" s="1">
        <v>731.20274099999995</v>
      </c>
      <c r="M32" s="1">
        <v>5.400652</v>
      </c>
      <c r="N32" s="1">
        <v>202.502082</v>
      </c>
      <c r="O32" s="1">
        <v>906.176604</v>
      </c>
      <c r="P32" s="1">
        <f t="shared" si="0"/>
        <v>1096.5783530000001</v>
      </c>
      <c r="Q32" s="1">
        <f t="shared" si="1"/>
        <v>1080.256652</v>
      </c>
      <c r="R32" s="1">
        <f t="shared" si="2"/>
        <v>939.10547499999996</v>
      </c>
      <c r="S32" s="1">
        <f t="shared" si="3"/>
        <v>1038.6468266666666</v>
      </c>
      <c r="T32" t="str">
        <f t="shared" si="4"/>
        <v>3YRS_AVG</v>
      </c>
      <c r="U32" s="1">
        <f t="shared" si="5"/>
        <v>1038.6468266666666</v>
      </c>
      <c r="V32" s="1">
        <f t="shared" si="6"/>
        <v>855.99399833333337</v>
      </c>
      <c r="W32" s="1">
        <f t="shared" si="7"/>
        <v>855.99399833333337</v>
      </c>
      <c r="X32" s="1">
        <f t="shared" si="8"/>
        <v>16.280068</v>
      </c>
      <c r="Y32" s="1">
        <f t="shared" si="9"/>
        <v>16.280068</v>
      </c>
      <c r="Z32" s="1">
        <f t="shared" si="10"/>
        <v>177.22613899999999</v>
      </c>
      <c r="AA32" s="1">
        <f t="shared" si="11"/>
        <v>177.22613899999999</v>
      </c>
      <c r="AB32" s="1">
        <f t="shared" si="12"/>
        <v>990.49269733333347</v>
      </c>
      <c r="AC32" s="1">
        <f t="shared" si="13"/>
        <v>990.49269733333347</v>
      </c>
    </row>
    <row r="33" spans="1:29" x14ac:dyDescent="0.25">
      <c r="A33">
        <v>51458</v>
      </c>
      <c r="B33" t="s">
        <v>160</v>
      </c>
      <c r="C33" t="s">
        <v>230</v>
      </c>
      <c r="D33" s="1">
        <v>674.76567699999998</v>
      </c>
      <c r="E33" s="1">
        <v>9.153611999999999</v>
      </c>
      <c r="F33" s="1">
        <v>59.309753999999998</v>
      </c>
      <c r="G33" s="1">
        <v>719.21358699999996</v>
      </c>
      <c r="H33" s="1">
        <v>675.22363199999995</v>
      </c>
      <c r="I33" s="1">
        <v>9.0576889999999999</v>
      </c>
      <c r="J33" s="1">
        <v>58.928231999999994</v>
      </c>
      <c r="K33" s="1">
        <v>716.30505000000005</v>
      </c>
      <c r="L33" s="1">
        <v>605.58256800000004</v>
      </c>
      <c r="M33" s="1">
        <v>1.243967</v>
      </c>
      <c r="N33" s="1">
        <v>40.579400999999997</v>
      </c>
      <c r="O33" s="1">
        <v>619.60670900000002</v>
      </c>
      <c r="P33" s="1">
        <f t="shared" si="0"/>
        <v>743.22904299999993</v>
      </c>
      <c r="Q33" s="1">
        <f t="shared" si="1"/>
        <v>743.20955299999991</v>
      </c>
      <c r="R33" s="1">
        <f t="shared" si="2"/>
        <v>647.405936</v>
      </c>
      <c r="S33" s="1">
        <f t="shared" si="3"/>
        <v>711.28151066666669</v>
      </c>
      <c r="T33" t="str">
        <f t="shared" si="4"/>
        <v>3YRS_AVG</v>
      </c>
      <c r="U33" s="1">
        <f t="shared" si="5"/>
        <v>711.28151066666669</v>
      </c>
      <c r="V33" s="1">
        <f t="shared" si="6"/>
        <v>651.85729233333336</v>
      </c>
      <c r="W33" s="1">
        <f t="shared" si="7"/>
        <v>651.85729233333336</v>
      </c>
      <c r="X33" s="1">
        <f t="shared" si="8"/>
        <v>19.455268</v>
      </c>
      <c r="Y33" s="1">
        <f t="shared" si="9"/>
        <v>19.455268</v>
      </c>
      <c r="Z33" s="1">
        <f t="shared" si="10"/>
        <v>52.939129000000001</v>
      </c>
      <c r="AA33" s="1">
        <f t="shared" si="11"/>
        <v>52.939129000000001</v>
      </c>
      <c r="AB33" s="1">
        <f t="shared" si="12"/>
        <v>685.04178200000013</v>
      </c>
      <c r="AC33" s="1">
        <f t="shared" si="13"/>
        <v>685.04178200000013</v>
      </c>
    </row>
    <row r="34" spans="1:29" x14ac:dyDescent="0.25">
      <c r="A34">
        <v>51474</v>
      </c>
      <c r="B34" t="s">
        <v>162</v>
      </c>
      <c r="C34" t="s">
        <v>231</v>
      </c>
      <c r="D34" s="1">
        <v>898.78111699999999</v>
      </c>
      <c r="E34" s="1">
        <v>11.934339</v>
      </c>
      <c r="F34" s="1">
        <v>150.006496</v>
      </c>
      <c r="G34" s="1">
        <v>944.32007299999998</v>
      </c>
      <c r="H34" s="1">
        <v>1016.743462</v>
      </c>
      <c r="I34" s="1">
        <v>12.929247</v>
      </c>
      <c r="J34" s="1">
        <v>122.740459</v>
      </c>
      <c r="K34" s="1">
        <v>1027.3418039999999</v>
      </c>
      <c r="L34" s="1">
        <v>975.18512599999997</v>
      </c>
      <c r="M34" s="1">
        <v>16.897138999999999</v>
      </c>
      <c r="N34" s="1">
        <v>147.565888</v>
      </c>
      <c r="O34" s="1">
        <v>1008.559332</v>
      </c>
      <c r="P34" s="1">
        <f t="shared" si="0"/>
        <v>1060.7219520000001</v>
      </c>
      <c r="Q34" s="1">
        <f t="shared" si="1"/>
        <v>1152.413168</v>
      </c>
      <c r="R34" s="1">
        <f t="shared" si="2"/>
        <v>1139.6481530000001</v>
      </c>
      <c r="S34" s="1">
        <f t="shared" si="3"/>
        <v>1117.5944243333333</v>
      </c>
      <c r="T34" t="str">
        <f t="shared" si="4"/>
        <v>FY21</v>
      </c>
      <c r="U34" s="1">
        <f t="shared" si="5"/>
        <v>1139.6481530000001</v>
      </c>
      <c r="V34" s="1">
        <f t="shared" si="6"/>
        <v>963.56990166666662</v>
      </c>
      <c r="W34" s="1">
        <f t="shared" si="7"/>
        <v>975.18512599999997</v>
      </c>
      <c r="X34" s="1">
        <f t="shared" si="8"/>
        <v>41.760724999999994</v>
      </c>
      <c r="Y34" s="1">
        <f t="shared" si="9"/>
        <v>16.897138999999999</v>
      </c>
      <c r="Z34" s="1">
        <f t="shared" si="10"/>
        <v>140.10428100000001</v>
      </c>
      <c r="AA34" s="1">
        <f t="shared" si="11"/>
        <v>147.565888</v>
      </c>
      <c r="AB34" s="1">
        <f t="shared" si="12"/>
        <v>993.40706966666676</v>
      </c>
      <c r="AC34" s="1">
        <f t="shared" si="13"/>
        <v>1008.559332</v>
      </c>
    </row>
    <row r="35" spans="1:29" x14ac:dyDescent="0.25">
      <c r="A35">
        <v>51490</v>
      </c>
      <c r="B35" t="s">
        <v>164</v>
      </c>
      <c r="C35" t="s">
        <v>232</v>
      </c>
      <c r="D35" s="1">
        <v>460.91081800000001</v>
      </c>
      <c r="E35" s="1">
        <v>3.76519</v>
      </c>
      <c r="F35" s="1">
        <v>93.619236000000001</v>
      </c>
      <c r="G35" s="1">
        <v>526.67361000000005</v>
      </c>
      <c r="H35" s="1">
        <v>378.029516</v>
      </c>
      <c r="I35" s="1">
        <v>8.2700219999999991</v>
      </c>
      <c r="J35" s="1">
        <v>210.54407399999999</v>
      </c>
      <c r="K35" s="1">
        <v>544.74210700000003</v>
      </c>
      <c r="L35" s="1">
        <v>194.76883699999999</v>
      </c>
      <c r="M35" s="1">
        <v>15.358673999999999</v>
      </c>
      <c r="N35" s="1">
        <v>383.53144499999996</v>
      </c>
      <c r="O35" s="1">
        <v>551.19872899999996</v>
      </c>
      <c r="P35" s="1">
        <f t="shared" si="0"/>
        <v>558.29524400000003</v>
      </c>
      <c r="Q35" s="1">
        <f t="shared" si="1"/>
        <v>596.84361200000001</v>
      </c>
      <c r="R35" s="1">
        <f t="shared" si="2"/>
        <v>593.65895599999999</v>
      </c>
      <c r="S35" s="1">
        <f t="shared" si="3"/>
        <v>582.93260399999997</v>
      </c>
      <c r="T35" t="str">
        <f t="shared" si="4"/>
        <v>FY21</v>
      </c>
      <c r="U35" s="1">
        <f t="shared" si="5"/>
        <v>593.65895599999999</v>
      </c>
      <c r="V35" s="1">
        <f t="shared" si="6"/>
        <v>344.56972366666668</v>
      </c>
      <c r="W35" s="1">
        <f t="shared" si="7"/>
        <v>194.76883699999999</v>
      </c>
      <c r="X35" s="1">
        <f t="shared" si="8"/>
        <v>27.393885999999998</v>
      </c>
      <c r="Y35" s="1">
        <f t="shared" si="9"/>
        <v>15.358673999999999</v>
      </c>
      <c r="Z35" s="1">
        <f t="shared" si="10"/>
        <v>229.231585</v>
      </c>
      <c r="AA35" s="1">
        <f t="shared" si="11"/>
        <v>383.53144499999996</v>
      </c>
      <c r="AB35" s="1">
        <f t="shared" si="12"/>
        <v>540.87148200000001</v>
      </c>
      <c r="AC35" s="1">
        <f t="shared" si="13"/>
        <v>551.19872899999996</v>
      </c>
    </row>
    <row r="36" spans="1:29" x14ac:dyDescent="0.25">
      <c r="A36">
        <v>51532</v>
      </c>
      <c r="B36" t="s">
        <v>166</v>
      </c>
      <c r="C36" t="s">
        <v>233</v>
      </c>
      <c r="D36" s="1">
        <v>611.68680400000005</v>
      </c>
      <c r="E36" s="1">
        <v>1.7151399999999999</v>
      </c>
      <c r="F36" s="1">
        <v>116.502903</v>
      </c>
      <c r="G36" s="1">
        <v>711.408186</v>
      </c>
      <c r="H36" s="1">
        <v>538.49423000000002</v>
      </c>
      <c r="I36" s="1">
        <v>6.0714879999999996</v>
      </c>
      <c r="J36" s="1">
        <v>126.11790500000001</v>
      </c>
      <c r="K36" s="1">
        <v>661.50996699999996</v>
      </c>
      <c r="L36" s="1">
        <v>573.53112399999998</v>
      </c>
      <c r="M36" s="1">
        <v>1.0981619999999999</v>
      </c>
      <c r="N36" s="1">
        <v>116.16400300000001</v>
      </c>
      <c r="O36" s="1">
        <v>681.57412199999999</v>
      </c>
      <c r="P36" s="1">
        <f t="shared" si="0"/>
        <v>729.90484700000002</v>
      </c>
      <c r="Q36" s="1">
        <f t="shared" si="1"/>
        <v>670.68362300000013</v>
      </c>
      <c r="R36" s="1">
        <f t="shared" si="2"/>
        <v>690.79328899999996</v>
      </c>
      <c r="S36" s="1">
        <f t="shared" si="3"/>
        <v>697.127253</v>
      </c>
      <c r="T36" t="str">
        <f t="shared" si="4"/>
        <v>3YRS_AVG</v>
      </c>
      <c r="U36" s="1">
        <f t="shared" si="5"/>
        <v>697.127253</v>
      </c>
      <c r="V36" s="1">
        <f t="shared" si="6"/>
        <v>574.57071933333339</v>
      </c>
      <c r="W36" s="1">
        <f t="shared" si="7"/>
        <v>574.57071933333339</v>
      </c>
      <c r="X36" s="1">
        <f t="shared" si="8"/>
        <v>8.8847899999999989</v>
      </c>
      <c r="Y36" s="1">
        <f t="shared" si="9"/>
        <v>8.8847899999999989</v>
      </c>
      <c r="Z36" s="1">
        <f t="shared" si="10"/>
        <v>119.594937</v>
      </c>
      <c r="AA36" s="1">
        <f t="shared" si="11"/>
        <v>119.594937</v>
      </c>
      <c r="AB36" s="1">
        <f t="shared" si="12"/>
        <v>684.83075833333339</v>
      </c>
      <c r="AC36" s="1">
        <f t="shared" si="13"/>
        <v>684.83075833333339</v>
      </c>
    </row>
    <row r="37" spans="1:29" x14ac:dyDescent="0.25">
      <c r="A37">
        <v>51607</v>
      </c>
      <c r="B37" t="s">
        <v>168</v>
      </c>
      <c r="C37" t="s">
        <v>234</v>
      </c>
      <c r="D37" s="1">
        <v>423.98300599999999</v>
      </c>
      <c r="E37" s="1">
        <v>0</v>
      </c>
      <c r="F37" s="1">
        <v>35.462674</v>
      </c>
      <c r="G37" s="1">
        <v>459.44567999999998</v>
      </c>
      <c r="H37" s="1">
        <v>425.58938999999998</v>
      </c>
      <c r="I37" s="1">
        <v>0</v>
      </c>
      <c r="J37" s="1">
        <v>41.957146999999999</v>
      </c>
      <c r="K37" s="1">
        <v>467.546537</v>
      </c>
      <c r="L37" s="1">
        <v>450.00583899999998</v>
      </c>
      <c r="M37" s="1">
        <v>0</v>
      </c>
      <c r="N37" s="1">
        <v>47.193225999999996</v>
      </c>
      <c r="O37" s="1">
        <v>497.19906500000002</v>
      </c>
      <c r="P37" s="1">
        <f t="shared" si="0"/>
        <v>459.44567999999998</v>
      </c>
      <c r="Q37" s="1">
        <f t="shared" si="1"/>
        <v>467.546537</v>
      </c>
      <c r="R37" s="1">
        <f t="shared" si="2"/>
        <v>497.19906499999996</v>
      </c>
      <c r="S37" s="1">
        <f t="shared" si="3"/>
        <v>474.73042733333335</v>
      </c>
      <c r="T37" t="str">
        <f t="shared" si="4"/>
        <v>FY21</v>
      </c>
      <c r="U37" s="1">
        <f t="shared" si="5"/>
        <v>497.19906499999996</v>
      </c>
      <c r="V37" s="1">
        <f t="shared" si="6"/>
        <v>433.192745</v>
      </c>
      <c r="W37" s="1">
        <f t="shared" si="7"/>
        <v>450.00583899999998</v>
      </c>
      <c r="X37" s="1">
        <f t="shared" si="8"/>
        <v>0</v>
      </c>
      <c r="Y37" s="1">
        <f t="shared" si="9"/>
        <v>0</v>
      </c>
      <c r="Z37" s="1">
        <f t="shared" si="10"/>
        <v>41.537682333333329</v>
      </c>
      <c r="AA37" s="1">
        <f t="shared" si="11"/>
        <v>47.193225999999996</v>
      </c>
      <c r="AB37" s="1">
        <f t="shared" si="12"/>
        <v>474.73042733333335</v>
      </c>
      <c r="AC37" s="1">
        <f t="shared" si="13"/>
        <v>497.19906500000002</v>
      </c>
    </row>
    <row r="38" spans="1:29" x14ac:dyDescent="0.25">
      <c r="A38">
        <v>51631</v>
      </c>
      <c r="B38" t="s">
        <v>170</v>
      </c>
      <c r="C38" t="s">
        <v>235</v>
      </c>
      <c r="D38" s="1">
        <v>782.26479700000004</v>
      </c>
      <c r="E38" s="1">
        <v>0</v>
      </c>
      <c r="F38" s="1">
        <v>139.007092</v>
      </c>
      <c r="G38" s="1">
        <v>921.27188899999999</v>
      </c>
      <c r="H38" s="1">
        <v>768.13456999999994</v>
      </c>
      <c r="I38" s="1">
        <v>0</v>
      </c>
      <c r="J38" s="1">
        <v>121.186269</v>
      </c>
      <c r="K38" s="1">
        <v>889.32083899999998</v>
      </c>
      <c r="L38" s="1">
        <v>728.000856</v>
      </c>
      <c r="M38" s="1">
        <v>0</v>
      </c>
      <c r="N38" s="1">
        <v>113.728825</v>
      </c>
      <c r="O38" s="1">
        <v>841.72968100000003</v>
      </c>
      <c r="P38" s="1">
        <f t="shared" si="0"/>
        <v>921.2718890000001</v>
      </c>
      <c r="Q38" s="1">
        <f t="shared" si="1"/>
        <v>889.32083899999998</v>
      </c>
      <c r="R38" s="1">
        <f t="shared" si="2"/>
        <v>841.72968100000003</v>
      </c>
      <c r="S38" s="1">
        <f t="shared" si="3"/>
        <v>884.10746966666682</v>
      </c>
      <c r="T38" t="str">
        <f t="shared" si="4"/>
        <v>3YRS_AVG</v>
      </c>
      <c r="U38" s="1">
        <f t="shared" si="5"/>
        <v>884.10746966666682</v>
      </c>
      <c r="V38" s="1">
        <f t="shared" si="6"/>
        <v>759.46674100000007</v>
      </c>
      <c r="W38" s="1">
        <f t="shared" si="7"/>
        <v>759.46674100000007</v>
      </c>
      <c r="X38" s="1">
        <f t="shared" si="8"/>
        <v>0</v>
      </c>
      <c r="Y38" s="1">
        <f t="shared" si="9"/>
        <v>0</v>
      </c>
      <c r="Z38" s="1">
        <f t="shared" si="10"/>
        <v>124.64072866666667</v>
      </c>
      <c r="AA38" s="1">
        <f t="shared" si="11"/>
        <v>124.64072866666667</v>
      </c>
      <c r="AB38" s="1">
        <f t="shared" si="12"/>
        <v>884.10746966666682</v>
      </c>
      <c r="AC38" s="1">
        <f t="shared" si="13"/>
        <v>884.10746966666682</v>
      </c>
    </row>
    <row r="39" spans="1:29" x14ac:dyDescent="0.25">
      <c r="A39">
        <v>51656</v>
      </c>
      <c r="B39" t="s">
        <v>172</v>
      </c>
      <c r="C39" t="s">
        <v>236</v>
      </c>
      <c r="D39" s="1">
        <v>673.21408599999995</v>
      </c>
      <c r="E39" s="1">
        <v>0.12722999999999998</v>
      </c>
      <c r="F39" s="1">
        <v>256.47955000000002</v>
      </c>
      <c r="G39" s="1">
        <v>927.97333800000001</v>
      </c>
      <c r="H39" s="1">
        <v>687.57938000000001</v>
      </c>
      <c r="I39" s="1">
        <v>2.4236529999999998</v>
      </c>
      <c r="J39" s="1">
        <v>248.41321399999998</v>
      </c>
      <c r="K39" s="1">
        <v>932.46217300000001</v>
      </c>
      <c r="L39" s="1">
        <v>677.37014199999999</v>
      </c>
      <c r="M39" s="1">
        <v>0.122531</v>
      </c>
      <c r="N39" s="1">
        <v>223.90516</v>
      </c>
      <c r="O39" s="1">
        <v>899.65979900000002</v>
      </c>
      <c r="P39" s="1">
        <f t="shared" si="0"/>
        <v>929.82086600000002</v>
      </c>
      <c r="Q39" s="1">
        <f t="shared" si="1"/>
        <v>938.41624699999988</v>
      </c>
      <c r="R39" s="1">
        <f t="shared" si="2"/>
        <v>901.39783299999999</v>
      </c>
      <c r="S39" s="1">
        <f t="shared" si="3"/>
        <v>923.21164866666675</v>
      </c>
      <c r="T39" t="str">
        <f t="shared" si="4"/>
        <v>3YRS_AVG</v>
      </c>
      <c r="U39" s="1">
        <f t="shared" si="5"/>
        <v>923.21164866666675</v>
      </c>
      <c r="V39" s="1">
        <f t="shared" si="6"/>
        <v>679.38786933333336</v>
      </c>
      <c r="W39" s="1">
        <f t="shared" si="7"/>
        <v>679.38786933333336</v>
      </c>
      <c r="X39" s="1">
        <f t="shared" si="8"/>
        <v>2.6734139999999997</v>
      </c>
      <c r="Y39" s="1">
        <f t="shared" si="9"/>
        <v>2.6734139999999997</v>
      </c>
      <c r="Z39" s="1">
        <f t="shared" si="10"/>
        <v>242.93264133333332</v>
      </c>
      <c r="AA39" s="1">
        <f t="shared" si="11"/>
        <v>242.93264133333332</v>
      </c>
      <c r="AB39" s="1">
        <f t="shared" si="12"/>
        <v>920.03177000000005</v>
      </c>
      <c r="AC39" s="1">
        <f t="shared" si="13"/>
        <v>920.03177000000005</v>
      </c>
    </row>
    <row r="40" spans="1:29" x14ac:dyDescent="0.25">
      <c r="A40">
        <v>51672</v>
      </c>
      <c r="B40" t="s">
        <v>174</v>
      </c>
      <c r="C40" t="s">
        <v>237</v>
      </c>
      <c r="D40" s="1">
        <v>361.32505500000002</v>
      </c>
      <c r="E40" s="1">
        <v>0</v>
      </c>
      <c r="F40" s="1">
        <v>56.643753999999994</v>
      </c>
      <c r="G40" s="1">
        <v>417.96880900000002</v>
      </c>
      <c r="H40" s="1">
        <v>349.99569100000002</v>
      </c>
      <c r="I40" s="1">
        <v>0</v>
      </c>
      <c r="J40" s="1">
        <v>48.462267999999995</v>
      </c>
      <c r="K40" s="1">
        <v>398.45795900000002</v>
      </c>
      <c r="L40" s="1">
        <v>414.54809399999999</v>
      </c>
      <c r="M40" s="1">
        <v>0</v>
      </c>
      <c r="N40" s="1">
        <v>45.433306999999999</v>
      </c>
      <c r="O40" s="1">
        <v>459.98140100000001</v>
      </c>
      <c r="P40" s="1">
        <f t="shared" si="0"/>
        <v>417.96880900000002</v>
      </c>
      <c r="Q40" s="1">
        <f t="shared" si="1"/>
        <v>398.45795900000002</v>
      </c>
      <c r="R40" s="1">
        <f t="shared" si="2"/>
        <v>459.98140100000001</v>
      </c>
      <c r="S40" s="1">
        <f t="shared" si="3"/>
        <v>425.4693896666667</v>
      </c>
      <c r="T40" t="str">
        <f t="shared" si="4"/>
        <v>FY21</v>
      </c>
      <c r="U40" s="1">
        <f t="shared" si="5"/>
        <v>459.98140100000001</v>
      </c>
      <c r="V40" s="1">
        <f t="shared" si="6"/>
        <v>375.28961333333336</v>
      </c>
      <c r="W40" s="1">
        <f t="shared" si="7"/>
        <v>414.54809399999999</v>
      </c>
      <c r="X40" s="1">
        <f t="shared" si="8"/>
        <v>0</v>
      </c>
      <c r="Y40" s="1">
        <f t="shared" si="9"/>
        <v>0</v>
      </c>
      <c r="Z40" s="1">
        <f t="shared" si="10"/>
        <v>50.179776333333336</v>
      </c>
      <c r="AA40" s="1">
        <f t="shared" si="11"/>
        <v>45.433306999999999</v>
      </c>
      <c r="AB40" s="1">
        <f t="shared" si="12"/>
        <v>425.4693896666667</v>
      </c>
      <c r="AC40" s="1">
        <f t="shared" si="13"/>
        <v>459.98140100000001</v>
      </c>
    </row>
    <row r="41" spans="1:29" x14ac:dyDescent="0.25">
      <c r="A41">
        <v>51698</v>
      </c>
      <c r="B41" t="s">
        <v>176</v>
      </c>
      <c r="C41" t="s">
        <v>238</v>
      </c>
      <c r="D41" s="1">
        <v>335.03219300000001</v>
      </c>
      <c r="E41" s="1">
        <v>0</v>
      </c>
      <c r="F41" s="1">
        <v>112.74997399999999</v>
      </c>
      <c r="G41" s="1">
        <v>447.78216700000002</v>
      </c>
      <c r="H41" s="1">
        <v>369.34621900000002</v>
      </c>
      <c r="I41" s="1">
        <v>0</v>
      </c>
      <c r="J41" s="1">
        <v>135.83739199999999</v>
      </c>
      <c r="K41" s="1">
        <v>505.18361099999998</v>
      </c>
      <c r="L41" s="1">
        <v>381.10106400000001</v>
      </c>
      <c r="M41" s="1">
        <v>0</v>
      </c>
      <c r="N41" s="1">
        <v>130.47556900000001</v>
      </c>
      <c r="O41" s="1">
        <v>511.57663300000002</v>
      </c>
      <c r="P41" s="1">
        <f t="shared" si="0"/>
        <v>447.78216700000002</v>
      </c>
      <c r="Q41" s="1">
        <f t="shared" si="1"/>
        <v>505.18361100000004</v>
      </c>
      <c r="R41" s="1">
        <f t="shared" si="2"/>
        <v>511.57663300000002</v>
      </c>
      <c r="S41" s="1">
        <f t="shared" si="3"/>
        <v>488.18080366666663</v>
      </c>
      <c r="T41" t="str">
        <f t="shared" si="4"/>
        <v>FY21</v>
      </c>
      <c r="U41" s="1">
        <f t="shared" si="5"/>
        <v>511.57663300000002</v>
      </c>
      <c r="V41" s="1">
        <f t="shared" si="6"/>
        <v>361.82649199999997</v>
      </c>
      <c r="W41" s="1">
        <f t="shared" si="7"/>
        <v>381.10106400000001</v>
      </c>
      <c r="X41" s="1">
        <f t="shared" si="8"/>
        <v>0</v>
      </c>
      <c r="Y41" s="1">
        <f t="shared" si="9"/>
        <v>0</v>
      </c>
      <c r="Z41" s="1">
        <f t="shared" si="10"/>
        <v>126.35431166666666</v>
      </c>
      <c r="AA41" s="1">
        <f t="shared" si="11"/>
        <v>130.47556900000001</v>
      </c>
      <c r="AB41" s="1">
        <f t="shared" si="12"/>
        <v>488.18080366666663</v>
      </c>
      <c r="AC41" s="1">
        <f t="shared" si="13"/>
        <v>511.57663300000002</v>
      </c>
    </row>
    <row r="42" spans="1:29" x14ac:dyDescent="0.25">
      <c r="A42">
        <v>51714</v>
      </c>
      <c r="B42" t="s">
        <v>178</v>
      </c>
      <c r="C42" t="s">
        <v>239</v>
      </c>
      <c r="D42" s="1">
        <v>525.35125300000004</v>
      </c>
      <c r="E42" s="1">
        <v>0.58725399999999994</v>
      </c>
      <c r="F42" s="1">
        <v>184.45419699999999</v>
      </c>
      <c r="G42" s="1">
        <v>705.85102700000004</v>
      </c>
      <c r="H42" s="1">
        <v>545.978838</v>
      </c>
      <c r="I42" s="1">
        <v>0.14982899999999999</v>
      </c>
      <c r="J42" s="1">
        <v>186.95391000000001</v>
      </c>
      <c r="K42" s="1">
        <v>728.98353899999995</v>
      </c>
      <c r="L42" s="1">
        <v>477.29085900000001</v>
      </c>
      <c r="M42" s="1">
        <v>0.16528299999999999</v>
      </c>
      <c r="N42" s="1">
        <v>165.80070799999999</v>
      </c>
      <c r="O42" s="1">
        <v>640.87186799999995</v>
      </c>
      <c r="P42" s="1">
        <f t="shared" si="0"/>
        <v>710.39270400000009</v>
      </c>
      <c r="Q42" s="1">
        <f t="shared" si="1"/>
        <v>733.0825769999999</v>
      </c>
      <c r="R42" s="1">
        <f t="shared" si="2"/>
        <v>643.25684999999999</v>
      </c>
      <c r="S42" s="1">
        <f t="shared" si="3"/>
        <v>695.57737699999996</v>
      </c>
      <c r="T42" t="str">
        <f t="shared" si="4"/>
        <v>3YRS_AVG</v>
      </c>
      <c r="U42" s="1">
        <f t="shared" si="5"/>
        <v>695.57737699999996</v>
      </c>
      <c r="V42" s="1">
        <f t="shared" si="6"/>
        <v>516.20698333333337</v>
      </c>
      <c r="W42" s="1">
        <f t="shared" si="7"/>
        <v>516.20698333333337</v>
      </c>
      <c r="X42" s="1">
        <f t="shared" si="8"/>
        <v>0.90236599999999989</v>
      </c>
      <c r="Y42" s="1">
        <f t="shared" si="9"/>
        <v>0.90236599999999989</v>
      </c>
      <c r="Z42" s="1">
        <f t="shared" si="10"/>
        <v>179.069605</v>
      </c>
      <c r="AA42" s="1">
        <f t="shared" si="11"/>
        <v>179.069605</v>
      </c>
      <c r="AB42" s="1">
        <f t="shared" si="12"/>
        <v>691.90214466666657</v>
      </c>
      <c r="AC42" s="1">
        <f t="shared" si="13"/>
        <v>691.90214466666657</v>
      </c>
    </row>
    <row r="43" spans="1:29" x14ac:dyDescent="0.25">
      <c r="A43">
        <v>62026</v>
      </c>
      <c r="B43" t="s">
        <v>180</v>
      </c>
      <c r="C43" t="s">
        <v>240</v>
      </c>
      <c r="D43" s="1">
        <v>335.38069200000001</v>
      </c>
      <c r="E43" s="1">
        <v>0</v>
      </c>
      <c r="F43" s="1">
        <v>191.39481499999999</v>
      </c>
      <c r="G43" s="1">
        <v>526.77550699999995</v>
      </c>
      <c r="H43" s="1">
        <v>394.85049300000003</v>
      </c>
      <c r="I43" s="1">
        <v>0</v>
      </c>
      <c r="J43" s="1">
        <v>207.908267</v>
      </c>
      <c r="K43" s="1">
        <v>602.75876000000005</v>
      </c>
      <c r="L43" s="1">
        <v>388.232798</v>
      </c>
      <c r="M43" s="1">
        <v>0</v>
      </c>
      <c r="N43" s="1">
        <v>235.73164199999999</v>
      </c>
      <c r="O43" s="1">
        <v>623.96443999999997</v>
      </c>
      <c r="P43" s="1">
        <f t="shared" si="0"/>
        <v>526.77550700000006</v>
      </c>
      <c r="Q43" s="1">
        <f t="shared" si="1"/>
        <v>602.75876000000005</v>
      </c>
      <c r="R43" s="1">
        <f t="shared" si="2"/>
        <v>623.96443999999997</v>
      </c>
      <c r="S43" s="1">
        <f t="shared" si="3"/>
        <v>584.49956899999995</v>
      </c>
      <c r="T43" t="str">
        <f t="shared" si="4"/>
        <v>FY21</v>
      </c>
      <c r="U43" s="1">
        <f t="shared" si="5"/>
        <v>623.96443999999997</v>
      </c>
      <c r="V43" s="1">
        <f t="shared" si="6"/>
        <v>372.82132766666672</v>
      </c>
      <c r="W43" s="1">
        <f t="shared" si="7"/>
        <v>388.232798</v>
      </c>
      <c r="X43" s="1">
        <f t="shared" si="8"/>
        <v>0</v>
      </c>
      <c r="Y43" s="1">
        <f t="shared" si="9"/>
        <v>0</v>
      </c>
      <c r="Z43" s="1">
        <f t="shared" si="10"/>
        <v>211.67824133333332</v>
      </c>
      <c r="AA43" s="1">
        <f t="shared" si="11"/>
        <v>235.73164199999999</v>
      </c>
      <c r="AB43" s="1">
        <f t="shared" si="12"/>
        <v>584.49956899999995</v>
      </c>
      <c r="AC43" s="1">
        <f t="shared" si="13"/>
        <v>623.96443999999997</v>
      </c>
    </row>
    <row r="44" spans="1:29" x14ac:dyDescent="0.25">
      <c r="A44">
        <v>62042</v>
      </c>
      <c r="B44" t="s">
        <v>182</v>
      </c>
      <c r="C44" t="s">
        <v>241</v>
      </c>
      <c r="D44" s="1">
        <v>281.17075299999999</v>
      </c>
      <c r="E44" s="1">
        <v>3.7175509999999998</v>
      </c>
      <c r="F44" s="1">
        <v>119.894094</v>
      </c>
      <c r="G44" s="1">
        <v>399.49786899999998</v>
      </c>
      <c r="H44" s="1">
        <v>320.25678800000003</v>
      </c>
      <c r="I44" s="1">
        <v>0.92476799999999992</v>
      </c>
      <c r="J44" s="1">
        <v>96.483898999999994</v>
      </c>
      <c r="K44" s="1">
        <v>412.56534099999999</v>
      </c>
      <c r="L44" s="1">
        <v>282.84734600000002</v>
      </c>
      <c r="M44" s="1">
        <v>2.0486169999999997</v>
      </c>
      <c r="N44" s="1">
        <v>101.198683</v>
      </c>
      <c r="O44" s="1">
        <v>376.67787699999997</v>
      </c>
      <c r="P44" s="1">
        <f t="shared" si="0"/>
        <v>404.782398</v>
      </c>
      <c r="Q44" s="1">
        <f t="shared" si="1"/>
        <v>417.66545500000001</v>
      </c>
      <c r="R44" s="1">
        <f t="shared" si="2"/>
        <v>386.09464600000001</v>
      </c>
      <c r="S44" s="1">
        <f t="shared" si="3"/>
        <v>402.84749966666669</v>
      </c>
      <c r="T44" t="str">
        <f t="shared" si="4"/>
        <v>3YRS_AVG</v>
      </c>
      <c r="U44" s="1">
        <f t="shared" si="5"/>
        <v>402.84749966666669</v>
      </c>
      <c r="V44" s="1">
        <f t="shared" si="6"/>
        <v>294.7582956666667</v>
      </c>
      <c r="W44" s="1">
        <f t="shared" si="7"/>
        <v>294.7582956666667</v>
      </c>
      <c r="X44" s="1">
        <f t="shared" si="8"/>
        <v>6.6909359999999989</v>
      </c>
      <c r="Y44" s="1">
        <f t="shared" si="9"/>
        <v>6.6909359999999989</v>
      </c>
      <c r="Z44" s="1">
        <f t="shared" si="10"/>
        <v>105.85889200000001</v>
      </c>
      <c r="AA44" s="1">
        <f t="shared" si="11"/>
        <v>105.85889200000001</v>
      </c>
      <c r="AB44" s="1">
        <f t="shared" si="12"/>
        <v>396.24702899999994</v>
      </c>
      <c r="AC44" s="1">
        <f t="shared" si="13"/>
        <v>396.24702899999994</v>
      </c>
    </row>
    <row r="45" spans="1:29" x14ac:dyDescent="0.25">
      <c r="A45">
        <v>62067</v>
      </c>
      <c r="B45" t="s">
        <v>184</v>
      </c>
      <c r="C45" t="s">
        <v>242</v>
      </c>
      <c r="D45" s="1">
        <v>597.85340199999996</v>
      </c>
      <c r="E45" s="1">
        <v>12.899061</v>
      </c>
      <c r="F45" s="1">
        <v>80.533405999999999</v>
      </c>
      <c r="G45" s="1">
        <v>665.36845400000004</v>
      </c>
      <c r="H45" s="1">
        <v>600.21840399999996</v>
      </c>
      <c r="I45" s="1">
        <v>13.572573999999999</v>
      </c>
      <c r="J45" s="1">
        <v>82.591624999999993</v>
      </c>
      <c r="K45" s="1">
        <v>668.03932499999996</v>
      </c>
      <c r="L45" s="1">
        <v>355.19078500000001</v>
      </c>
      <c r="M45" s="1">
        <v>10.162661999999999</v>
      </c>
      <c r="N45" s="1">
        <v>208.75250700000001</v>
      </c>
      <c r="O45" s="1">
        <v>560.95483000000002</v>
      </c>
      <c r="P45" s="1">
        <f t="shared" si="0"/>
        <v>691.28586899999993</v>
      </c>
      <c r="Q45" s="1">
        <f t="shared" si="1"/>
        <v>696.38260300000002</v>
      </c>
      <c r="R45" s="1">
        <f t="shared" si="2"/>
        <v>574.105954</v>
      </c>
      <c r="S45" s="1">
        <f t="shared" si="3"/>
        <v>653.92480866666665</v>
      </c>
      <c r="T45" t="str">
        <f t="shared" si="4"/>
        <v>3YRS_AVG</v>
      </c>
      <c r="U45" s="1">
        <f t="shared" si="5"/>
        <v>653.92480866666665</v>
      </c>
      <c r="V45" s="1">
        <f t="shared" si="6"/>
        <v>517.75419699999998</v>
      </c>
      <c r="W45" s="1">
        <f t="shared" si="7"/>
        <v>517.75419699999998</v>
      </c>
      <c r="X45" s="1">
        <f t="shared" si="8"/>
        <v>36.634296999999997</v>
      </c>
      <c r="Y45" s="1">
        <f t="shared" si="9"/>
        <v>36.634296999999997</v>
      </c>
      <c r="Z45" s="1">
        <f t="shared" si="10"/>
        <v>123.95917933333332</v>
      </c>
      <c r="AA45" s="1">
        <f t="shared" si="11"/>
        <v>123.95917933333332</v>
      </c>
      <c r="AB45" s="1">
        <f t="shared" si="12"/>
        <v>631.45420300000012</v>
      </c>
      <c r="AC45" s="1">
        <f t="shared" si="13"/>
        <v>631.45420300000012</v>
      </c>
    </row>
    <row r="46" spans="1:29" x14ac:dyDescent="0.25">
      <c r="A46">
        <v>62109</v>
      </c>
      <c r="B46" t="s">
        <v>186</v>
      </c>
      <c r="C46" t="s">
        <v>243</v>
      </c>
      <c r="D46" s="1">
        <v>795.34076800000003</v>
      </c>
      <c r="E46" s="1">
        <v>83.720773999999992</v>
      </c>
      <c r="F46" s="1">
        <v>197.37649199999998</v>
      </c>
      <c r="G46" s="1">
        <v>929.97305800000004</v>
      </c>
      <c r="H46" s="1">
        <v>860.43627200000003</v>
      </c>
      <c r="I46" s="1">
        <v>23.080538999999998</v>
      </c>
      <c r="J46" s="1">
        <v>199.15749499999998</v>
      </c>
      <c r="K46" s="1">
        <v>968.48480800000004</v>
      </c>
      <c r="L46" s="1">
        <v>835.47652600000004</v>
      </c>
      <c r="M46" s="1">
        <v>21.928943</v>
      </c>
      <c r="N46" s="1">
        <v>223.025834</v>
      </c>
      <c r="O46" s="1">
        <v>998.77670799999999</v>
      </c>
      <c r="P46" s="1">
        <f t="shared" si="0"/>
        <v>1076.438034</v>
      </c>
      <c r="Q46" s="1">
        <f t="shared" si="1"/>
        <v>1082.6743060000001</v>
      </c>
      <c r="R46" s="1">
        <f t="shared" si="2"/>
        <v>1080.4313030000001</v>
      </c>
      <c r="S46" s="1">
        <f t="shared" si="3"/>
        <v>1079.8478809999999</v>
      </c>
      <c r="T46" t="str">
        <f t="shared" si="4"/>
        <v>FY21</v>
      </c>
      <c r="U46" s="1">
        <f t="shared" si="5"/>
        <v>1080.4313030000001</v>
      </c>
      <c r="V46" s="1">
        <f t="shared" si="6"/>
        <v>830.41785533333325</v>
      </c>
      <c r="W46" s="1">
        <f t="shared" si="7"/>
        <v>835.47652600000004</v>
      </c>
      <c r="X46" s="1">
        <f t="shared" si="8"/>
        <v>128.730256</v>
      </c>
      <c r="Y46" s="1">
        <f t="shared" si="9"/>
        <v>21.928943</v>
      </c>
      <c r="Z46" s="1">
        <f t="shared" si="10"/>
        <v>206.51994033333332</v>
      </c>
      <c r="AA46" s="1">
        <f t="shared" si="11"/>
        <v>223.025834</v>
      </c>
      <c r="AB46" s="1">
        <f t="shared" si="12"/>
        <v>965.74485800000002</v>
      </c>
      <c r="AC46" s="1">
        <f t="shared" si="13"/>
        <v>998.77670799999999</v>
      </c>
    </row>
    <row r="47" spans="1:29" x14ac:dyDescent="0.25">
      <c r="A47">
        <v>62125</v>
      </c>
      <c r="B47" t="s">
        <v>188</v>
      </c>
      <c r="C47" t="s">
        <v>244</v>
      </c>
      <c r="D47" s="1">
        <v>1099.3275329999999</v>
      </c>
      <c r="E47" s="1">
        <v>12.991947</v>
      </c>
      <c r="F47" s="1">
        <v>146.74432300000001</v>
      </c>
      <c r="G47" s="1">
        <v>1150.9607490000001</v>
      </c>
      <c r="H47" s="1">
        <v>1122.5568149999999</v>
      </c>
      <c r="I47" s="1">
        <v>12.948895</v>
      </c>
      <c r="J47" s="1">
        <v>156.965506</v>
      </c>
      <c r="K47" s="1">
        <v>1186.7443020000001</v>
      </c>
      <c r="L47" s="1">
        <v>1063.7962930000001</v>
      </c>
      <c r="M47" s="1">
        <v>11.168671</v>
      </c>
      <c r="N47" s="1">
        <v>193.80449099999998</v>
      </c>
      <c r="O47" s="1">
        <v>1181.4147149999999</v>
      </c>
      <c r="P47" s="1">
        <f t="shared" si="0"/>
        <v>1259.063803</v>
      </c>
      <c r="Q47" s="1">
        <f t="shared" si="1"/>
        <v>1292.4712159999999</v>
      </c>
      <c r="R47" s="1">
        <f t="shared" si="2"/>
        <v>1268.7694550000001</v>
      </c>
      <c r="S47" s="1">
        <f t="shared" si="3"/>
        <v>1273.4348246666666</v>
      </c>
      <c r="T47" t="str">
        <f t="shared" si="4"/>
        <v>3YRS_AVG</v>
      </c>
      <c r="U47" s="1">
        <f t="shared" si="5"/>
        <v>1273.4348246666666</v>
      </c>
      <c r="V47" s="1">
        <f t="shared" si="6"/>
        <v>1095.2268803333334</v>
      </c>
      <c r="W47" s="1">
        <f t="shared" si="7"/>
        <v>1095.2268803333334</v>
      </c>
      <c r="X47" s="1">
        <f t="shared" si="8"/>
        <v>37.109513</v>
      </c>
      <c r="Y47" s="1">
        <f t="shared" si="9"/>
        <v>37.109513</v>
      </c>
      <c r="Z47" s="1">
        <f t="shared" si="10"/>
        <v>165.83810666666668</v>
      </c>
      <c r="AA47" s="1">
        <f t="shared" si="11"/>
        <v>165.83810666666668</v>
      </c>
      <c r="AB47" s="1">
        <f t="shared" si="12"/>
        <v>1173.0399219999999</v>
      </c>
      <c r="AC47" s="1">
        <f t="shared" si="13"/>
        <v>1173.0399219999999</v>
      </c>
    </row>
    <row r="48" spans="1:29" x14ac:dyDescent="0.25">
      <c r="A48">
        <v>62802</v>
      </c>
      <c r="B48" t="s">
        <v>190</v>
      </c>
      <c r="C48" t="s">
        <v>245</v>
      </c>
      <c r="D48" s="1">
        <v>282.59736399999997</v>
      </c>
      <c r="E48" s="1">
        <v>6.46861</v>
      </c>
      <c r="F48" s="1">
        <v>40.102376</v>
      </c>
      <c r="G48" s="1">
        <v>309.04253199999999</v>
      </c>
      <c r="H48" s="1">
        <v>310.24299500000001</v>
      </c>
      <c r="I48" s="1">
        <v>28.000829</v>
      </c>
      <c r="J48" s="1">
        <v>53.734643999999996</v>
      </c>
      <c r="K48" s="1">
        <v>345.96723300000002</v>
      </c>
      <c r="L48" s="1">
        <v>303.95763199999999</v>
      </c>
      <c r="M48" s="1">
        <v>18.305600999999999</v>
      </c>
      <c r="N48" s="1">
        <v>73.653064999999998</v>
      </c>
      <c r="O48" s="1">
        <v>358.532939</v>
      </c>
      <c r="P48" s="1">
        <f t="shared" si="0"/>
        <v>329.16834999999998</v>
      </c>
      <c r="Q48" s="1">
        <f t="shared" si="1"/>
        <v>391.97846800000002</v>
      </c>
      <c r="R48" s="1">
        <f t="shared" si="2"/>
        <v>395.91629799999998</v>
      </c>
      <c r="S48" s="1">
        <f t="shared" si="3"/>
        <v>372.35437199999996</v>
      </c>
      <c r="T48" t="str">
        <f t="shared" si="4"/>
        <v>FY21</v>
      </c>
      <c r="U48" s="1">
        <f t="shared" si="5"/>
        <v>395.91629799999998</v>
      </c>
      <c r="V48" s="1">
        <f t="shared" si="6"/>
        <v>298.93266366666666</v>
      </c>
      <c r="W48" s="1">
        <f t="shared" si="7"/>
        <v>303.95763199999999</v>
      </c>
      <c r="X48" s="1">
        <f t="shared" si="8"/>
        <v>52.775040000000004</v>
      </c>
      <c r="Y48" s="1">
        <f t="shared" si="9"/>
        <v>18.305600999999999</v>
      </c>
      <c r="Z48" s="1">
        <f t="shared" si="10"/>
        <v>55.830028333333331</v>
      </c>
      <c r="AA48" s="1">
        <f t="shared" si="11"/>
        <v>73.653064999999998</v>
      </c>
      <c r="AB48" s="1">
        <f t="shared" si="12"/>
        <v>337.84756799999997</v>
      </c>
      <c r="AC48" s="1">
        <f t="shared" si="13"/>
        <v>358.532939</v>
      </c>
    </row>
    <row r="49" spans="1:30" x14ac:dyDescent="0.25">
      <c r="A49">
        <v>63495</v>
      </c>
      <c r="B49" t="s">
        <v>192</v>
      </c>
      <c r="C49" t="s">
        <v>246</v>
      </c>
      <c r="D49" s="1">
        <v>228.069727</v>
      </c>
      <c r="E49" s="1">
        <v>0</v>
      </c>
      <c r="F49" s="1">
        <v>102.325531</v>
      </c>
      <c r="G49" s="1">
        <v>330.39525800000001</v>
      </c>
      <c r="H49" s="1">
        <v>248.34271799999999</v>
      </c>
      <c r="I49" s="1">
        <v>0</v>
      </c>
      <c r="J49" s="1">
        <v>112.306049</v>
      </c>
      <c r="K49" s="1">
        <v>360.64876700000002</v>
      </c>
      <c r="L49" s="1">
        <v>249.23698200000001</v>
      </c>
      <c r="M49" s="1">
        <v>0</v>
      </c>
      <c r="N49" s="1">
        <v>112.79805899999999</v>
      </c>
      <c r="O49" s="1">
        <v>362.03504099999998</v>
      </c>
      <c r="P49" s="1">
        <f t="shared" si="0"/>
        <v>330.39525800000001</v>
      </c>
      <c r="Q49" s="1">
        <f t="shared" si="1"/>
        <v>360.64876700000002</v>
      </c>
      <c r="R49" s="1">
        <f t="shared" si="2"/>
        <v>362.03504099999998</v>
      </c>
      <c r="S49" s="1">
        <f t="shared" si="3"/>
        <v>351.02635533333336</v>
      </c>
      <c r="T49" t="str">
        <f t="shared" si="4"/>
        <v>FY21</v>
      </c>
      <c r="U49" s="1">
        <f t="shared" si="5"/>
        <v>362.03504099999998</v>
      </c>
      <c r="V49" s="1">
        <f t="shared" si="6"/>
        <v>241.88314233333335</v>
      </c>
      <c r="W49" s="1">
        <f t="shared" si="7"/>
        <v>249.23698200000001</v>
      </c>
      <c r="X49" s="1">
        <f t="shared" si="8"/>
        <v>0</v>
      </c>
      <c r="Y49" s="1">
        <f t="shared" si="9"/>
        <v>0</v>
      </c>
      <c r="Z49" s="1">
        <f t="shared" si="10"/>
        <v>109.14321299999999</v>
      </c>
      <c r="AA49" s="1">
        <f t="shared" si="11"/>
        <v>112.79805899999999</v>
      </c>
      <c r="AB49" s="1">
        <f t="shared" si="12"/>
        <v>351.02635533333336</v>
      </c>
      <c r="AC49" s="1">
        <f t="shared" si="13"/>
        <v>362.03504099999998</v>
      </c>
    </row>
    <row r="50" spans="1:30" x14ac:dyDescent="0.25">
      <c r="A50">
        <v>63511</v>
      </c>
      <c r="B50" t="s">
        <v>194</v>
      </c>
      <c r="C50" t="s">
        <v>247</v>
      </c>
      <c r="D50" s="1">
        <v>538.80846299999996</v>
      </c>
      <c r="E50" s="1">
        <v>30.105376999999997</v>
      </c>
      <c r="F50" s="1">
        <v>126.21691799999999</v>
      </c>
      <c r="G50" s="1">
        <v>631.78973499999995</v>
      </c>
      <c r="H50" s="1">
        <v>617.35746100000006</v>
      </c>
      <c r="I50" s="1">
        <v>19.563480999999999</v>
      </c>
      <c r="J50" s="1">
        <v>82.195577999999998</v>
      </c>
      <c r="K50" s="1">
        <v>653.04165499999999</v>
      </c>
      <c r="L50" s="1">
        <v>646.58070699999996</v>
      </c>
      <c r="M50" s="1">
        <v>38.271490999999997</v>
      </c>
      <c r="N50" s="1">
        <v>105.600117</v>
      </c>
      <c r="O50" s="1">
        <v>715.03698299999996</v>
      </c>
      <c r="P50" s="1">
        <f t="shared" si="0"/>
        <v>695.1307579999999</v>
      </c>
      <c r="Q50" s="1">
        <f t="shared" si="1"/>
        <v>719.11652000000004</v>
      </c>
      <c r="R50" s="1">
        <f t="shared" si="2"/>
        <v>790.45231499999989</v>
      </c>
      <c r="S50" s="1">
        <f t="shared" si="3"/>
        <v>734.89986433333331</v>
      </c>
      <c r="T50" t="str">
        <f t="shared" si="4"/>
        <v>FY21</v>
      </c>
      <c r="U50" s="1">
        <f t="shared" si="5"/>
        <v>790.45231499999989</v>
      </c>
      <c r="V50" s="1">
        <f t="shared" si="6"/>
        <v>600.91554366666662</v>
      </c>
      <c r="W50" s="1">
        <f t="shared" si="7"/>
        <v>646.58070699999996</v>
      </c>
      <c r="X50" s="1">
        <f t="shared" si="8"/>
        <v>87.940348999999998</v>
      </c>
      <c r="Y50" s="1">
        <f t="shared" si="9"/>
        <v>38.271490999999997</v>
      </c>
      <c r="Z50" s="1">
        <f t="shared" si="10"/>
        <v>104.67087099999999</v>
      </c>
      <c r="AA50" s="1">
        <f t="shared" si="11"/>
        <v>105.600117</v>
      </c>
      <c r="AB50" s="1">
        <f t="shared" si="12"/>
        <v>666.62279099999989</v>
      </c>
      <c r="AC50" s="1">
        <f t="shared" si="13"/>
        <v>715.03698299999996</v>
      </c>
    </row>
    <row r="51" spans="1:30" x14ac:dyDescent="0.25">
      <c r="A51">
        <v>65227</v>
      </c>
      <c r="B51" t="s">
        <v>196</v>
      </c>
      <c r="C51" t="s">
        <v>248</v>
      </c>
      <c r="D51" s="1">
        <v>163.53488099999998</v>
      </c>
      <c r="E51" s="1">
        <v>0</v>
      </c>
      <c r="F51" s="1">
        <v>24.757652999999998</v>
      </c>
      <c r="G51" s="1">
        <v>188.29253399999999</v>
      </c>
      <c r="H51" s="1">
        <v>186.71525800000001</v>
      </c>
      <c r="I51" s="1">
        <v>0</v>
      </c>
      <c r="J51" s="1">
        <v>28.825529999999997</v>
      </c>
      <c r="K51" s="1">
        <v>215.54078799999999</v>
      </c>
      <c r="L51" s="1">
        <v>177.833091</v>
      </c>
      <c r="M51" s="1">
        <v>0</v>
      </c>
      <c r="N51" s="1">
        <v>60.636947999999997</v>
      </c>
      <c r="O51" s="1">
        <v>238.47003899999999</v>
      </c>
      <c r="P51" s="1">
        <f t="shared" si="0"/>
        <v>188.29253399999999</v>
      </c>
      <c r="Q51" s="1">
        <f t="shared" si="1"/>
        <v>215.54078799999999</v>
      </c>
      <c r="R51" s="1">
        <f t="shared" si="2"/>
        <v>238.47003899999999</v>
      </c>
      <c r="S51" s="1">
        <f t="shared" si="3"/>
        <v>214.10112033333334</v>
      </c>
      <c r="T51" t="str">
        <f t="shared" si="4"/>
        <v>FY21</v>
      </c>
      <c r="U51" s="1">
        <f t="shared" si="5"/>
        <v>238.47003899999999</v>
      </c>
      <c r="V51" s="1">
        <f t="shared" si="6"/>
        <v>176.02774333333332</v>
      </c>
      <c r="W51" s="1">
        <f t="shared" si="7"/>
        <v>177.833091</v>
      </c>
      <c r="X51" s="1">
        <f t="shared" si="8"/>
        <v>0</v>
      </c>
      <c r="Y51" s="1">
        <f t="shared" si="9"/>
        <v>0</v>
      </c>
      <c r="Z51" s="1">
        <f t="shared" si="10"/>
        <v>38.073376999999994</v>
      </c>
      <c r="AA51" s="1">
        <f t="shared" si="11"/>
        <v>60.636947999999997</v>
      </c>
      <c r="AB51" s="1">
        <f t="shared" si="12"/>
        <v>214.10112033333334</v>
      </c>
      <c r="AC51" s="1">
        <f t="shared" si="13"/>
        <v>238.47003899999999</v>
      </c>
    </row>
    <row r="52" spans="1:30" x14ac:dyDescent="0.25">
      <c r="A52">
        <v>65268</v>
      </c>
      <c r="B52" t="s">
        <v>198</v>
      </c>
      <c r="C52" t="s">
        <v>249</v>
      </c>
      <c r="D52" s="1">
        <v>420.97359799999998</v>
      </c>
      <c r="E52" s="1">
        <v>0</v>
      </c>
      <c r="F52" s="1">
        <v>77.836951999999997</v>
      </c>
      <c r="G52" s="1">
        <v>498.81054999999998</v>
      </c>
      <c r="H52" s="1">
        <v>435.58251899999999</v>
      </c>
      <c r="I52" s="1">
        <v>0</v>
      </c>
      <c r="J52" s="1">
        <v>69.781246999999993</v>
      </c>
      <c r="K52" s="1">
        <v>505.363766</v>
      </c>
      <c r="L52" s="1">
        <v>388.813064</v>
      </c>
      <c r="M52" s="1">
        <v>0</v>
      </c>
      <c r="N52" s="1">
        <v>105.832082</v>
      </c>
      <c r="O52" s="1">
        <v>494.64514600000001</v>
      </c>
      <c r="P52" s="1">
        <f t="shared" si="0"/>
        <v>498.81054999999998</v>
      </c>
      <c r="Q52" s="1">
        <f t="shared" si="1"/>
        <v>505.363766</v>
      </c>
      <c r="R52" s="1">
        <f t="shared" si="2"/>
        <v>494.64514600000001</v>
      </c>
      <c r="S52" s="1">
        <f t="shared" si="3"/>
        <v>499.60648733333329</v>
      </c>
      <c r="T52" t="str">
        <f t="shared" si="4"/>
        <v>3YRS_AVG</v>
      </c>
      <c r="U52" s="1">
        <f t="shared" si="5"/>
        <v>499.60648733333329</v>
      </c>
      <c r="V52" s="1">
        <f t="shared" si="6"/>
        <v>415.12306033333334</v>
      </c>
      <c r="W52" s="1">
        <f t="shared" si="7"/>
        <v>415.12306033333334</v>
      </c>
      <c r="X52" s="1">
        <f t="shared" si="8"/>
        <v>0</v>
      </c>
      <c r="Y52" s="1">
        <f t="shared" si="9"/>
        <v>0</v>
      </c>
      <c r="Z52" s="1">
        <f t="shared" si="10"/>
        <v>84.483427000000006</v>
      </c>
      <c r="AA52" s="1">
        <f t="shared" si="11"/>
        <v>84.483427000000006</v>
      </c>
      <c r="AB52" s="1">
        <f t="shared" si="12"/>
        <v>499.60648733333329</v>
      </c>
      <c r="AC52" s="1">
        <f t="shared" si="13"/>
        <v>499.60648733333329</v>
      </c>
    </row>
    <row r="53" spans="1:30" x14ac:dyDescent="0.25">
      <c r="A53">
        <v>50765</v>
      </c>
      <c r="B53" t="s">
        <v>250</v>
      </c>
      <c r="P53" s="1">
        <f>SUM(P4:P52)</f>
        <v>41910.092960999995</v>
      </c>
      <c r="Q53" s="1">
        <f t="shared" ref="Q53:AC53" si="14">SUM(Q4:Q52)</f>
        <v>43402.01597700001</v>
      </c>
      <c r="R53" s="1">
        <f t="shared" si="14"/>
        <v>42446.424134999994</v>
      </c>
      <c r="S53" s="1">
        <f t="shared" si="14"/>
        <v>42586.177691000004</v>
      </c>
      <c r="T53" s="1"/>
      <c r="U53" s="1">
        <f t="shared" si="14"/>
        <v>43273.417632666664</v>
      </c>
      <c r="V53" s="1">
        <f t="shared" si="14"/>
        <v>35034.277637666666</v>
      </c>
      <c r="W53" s="1">
        <f t="shared" si="14"/>
        <v>35366.245549333333</v>
      </c>
      <c r="X53" s="1">
        <f t="shared" si="14"/>
        <v>2014.8069430000003</v>
      </c>
      <c r="Y53" s="1">
        <f t="shared" si="14"/>
        <v>971.30299500000001</v>
      </c>
      <c r="Z53" s="1">
        <f t="shared" si="14"/>
        <v>6880.2977390000024</v>
      </c>
      <c r="AA53" s="1">
        <f t="shared" si="14"/>
        <v>7260.5698770000008</v>
      </c>
      <c r="AB53" s="1">
        <f t="shared" si="14"/>
        <v>39972.284268666663</v>
      </c>
      <c r="AC53" s="1">
        <f t="shared" si="14"/>
        <v>40756.288025333321</v>
      </c>
      <c r="AD53" s="1"/>
    </row>
  </sheetData>
  <phoneticPr fontId="18" type="noConversion"/>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196B5-FA03-496D-BD74-47611CF5E488}">
  <dimension ref="A3:O54"/>
  <sheetViews>
    <sheetView workbookViewId="0">
      <pane xSplit="4" ySplit="3" topLeftCell="E4" activePane="bottomRight" state="frozen"/>
      <selection pane="topRight" activeCell="D1" sqref="D1"/>
      <selection pane="bottomLeft" activeCell="A4" sqref="A4"/>
      <selection pane="bottomRight" activeCell="I55" sqref="I55"/>
    </sheetView>
  </sheetViews>
  <sheetFormatPr defaultRowHeight="15" x14ac:dyDescent="0.25"/>
  <cols>
    <col min="1" max="2" width="7.5703125" bestFit="1" customWidth="1"/>
    <col min="3" max="3" width="12.42578125" bestFit="1" customWidth="1"/>
    <col min="4" max="4" width="32.7109375" bestFit="1" customWidth="1"/>
    <col min="5" max="5" width="15" style="6" bestFit="1" customWidth="1"/>
    <col min="6" max="6" width="14" style="6" bestFit="1" customWidth="1"/>
    <col min="7" max="7" width="12.85546875" bestFit="1" customWidth="1"/>
    <col min="8" max="8" width="14" bestFit="1" customWidth="1"/>
    <col min="9" max="9" width="15" style="6" bestFit="1" customWidth="1"/>
    <col min="10" max="10" width="15" bestFit="1" customWidth="1"/>
    <col min="11" max="11" width="14" bestFit="1" customWidth="1"/>
    <col min="12" max="12" width="12.85546875" bestFit="1" customWidth="1"/>
    <col min="13" max="13" width="11.28515625" bestFit="1" customWidth="1"/>
    <col min="14" max="14" width="14" bestFit="1" customWidth="1"/>
    <col min="15" max="15" width="15.28515625" bestFit="1" customWidth="1"/>
  </cols>
  <sheetData>
    <row r="3" spans="1:15" s="29" customFormat="1" ht="135" x14ac:dyDescent="0.25">
      <c r="A3" s="29" t="s">
        <v>93</v>
      </c>
      <c r="B3" s="29" t="s">
        <v>93</v>
      </c>
      <c r="C3" s="29" t="s">
        <v>838</v>
      </c>
      <c r="D3" s="29" t="s">
        <v>839</v>
      </c>
      <c r="E3" s="30" t="s">
        <v>344</v>
      </c>
      <c r="F3" s="30" t="s">
        <v>345</v>
      </c>
      <c r="G3" s="14" t="s">
        <v>346</v>
      </c>
      <c r="H3" s="14" t="s">
        <v>347</v>
      </c>
      <c r="I3" s="30" t="s">
        <v>350</v>
      </c>
      <c r="J3" s="31" t="s">
        <v>21</v>
      </c>
      <c r="K3" s="32" t="s">
        <v>840</v>
      </c>
      <c r="L3" s="32" t="s">
        <v>841</v>
      </c>
      <c r="M3" s="32" t="s">
        <v>842</v>
      </c>
      <c r="N3" s="32" t="s">
        <v>843</v>
      </c>
    </row>
    <row r="4" spans="1:15" x14ac:dyDescent="0.25">
      <c r="A4" t="s">
        <v>101</v>
      </c>
      <c r="B4">
        <v>50773</v>
      </c>
      <c r="C4" t="s">
        <v>202</v>
      </c>
      <c r="D4" t="s">
        <v>844</v>
      </c>
      <c r="E4" s="6">
        <v>5971677.21</v>
      </c>
      <c r="F4" s="6">
        <v>1041899.62</v>
      </c>
      <c r="G4" s="7">
        <v>346348.82</v>
      </c>
      <c r="H4" s="7">
        <f>1798470.03</f>
        <v>1798470.03</v>
      </c>
      <c r="I4" s="6">
        <f t="shared" ref="I4:I52" si="0">E4+F4-L4</f>
        <v>6951364.4199999999</v>
      </c>
      <c r="J4" s="7">
        <f>I4-K4-M4-N4</f>
        <v>4117512.4499999997</v>
      </c>
      <c r="K4" s="7">
        <v>689033.12</v>
      </c>
      <c r="L4">
        <v>62212.41</v>
      </c>
      <c r="M4" s="7">
        <v>0</v>
      </c>
      <c r="N4" s="7">
        <f t="shared" ref="N4:N52" si="1">G4+H4</f>
        <v>2144818.85</v>
      </c>
      <c r="O4" s="7">
        <f>E4+F4</f>
        <v>7013576.8300000001</v>
      </c>
    </row>
    <row r="5" spans="1:15" x14ac:dyDescent="0.25">
      <c r="A5" t="s">
        <v>103</v>
      </c>
      <c r="B5">
        <v>50799</v>
      </c>
      <c r="C5" t="s">
        <v>203</v>
      </c>
      <c r="D5" t="s">
        <v>845</v>
      </c>
      <c r="E5" s="6">
        <v>3928409.93</v>
      </c>
      <c r="F5" s="6">
        <v>359032.09</v>
      </c>
      <c r="G5" s="7">
        <v>117870.89</v>
      </c>
      <c r="H5" s="7">
        <v>1324437.72</v>
      </c>
      <c r="I5" s="6">
        <f t="shared" si="0"/>
        <v>4239022.54</v>
      </c>
      <c r="J5" s="7">
        <f t="shared" ref="J5:J52" si="2">I5-K5-M5-N5</f>
        <v>2426338.94</v>
      </c>
      <c r="K5" s="7">
        <v>370374.99</v>
      </c>
      <c r="L5">
        <v>48419.48</v>
      </c>
      <c r="M5" s="7">
        <v>0</v>
      </c>
      <c r="N5" s="7">
        <f t="shared" si="1"/>
        <v>1442308.6099999999</v>
      </c>
      <c r="O5" s="7">
        <f t="shared" ref="O5:O52" si="3">E5+F5</f>
        <v>4287442.0200000005</v>
      </c>
    </row>
    <row r="6" spans="1:15" x14ac:dyDescent="0.25">
      <c r="A6" t="s">
        <v>105</v>
      </c>
      <c r="B6">
        <v>50815</v>
      </c>
      <c r="C6" t="s">
        <v>204</v>
      </c>
      <c r="D6" t="s">
        <v>846</v>
      </c>
      <c r="E6" s="6">
        <v>5258546.49</v>
      </c>
      <c r="F6" s="6">
        <v>45397.89</v>
      </c>
      <c r="G6" s="7">
        <v>13070.49</v>
      </c>
      <c r="H6" s="7">
        <v>1485362.98</v>
      </c>
      <c r="I6" s="6">
        <f t="shared" si="0"/>
        <v>5089391.3499999996</v>
      </c>
      <c r="J6" s="7">
        <f t="shared" si="2"/>
        <v>2773896.0300000003</v>
      </c>
      <c r="K6" s="7">
        <v>817061.85</v>
      </c>
      <c r="L6">
        <v>214553.03</v>
      </c>
      <c r="M6" s="7">
        <v>0</v>
      </c>
      <c r="N6" s="7">
        <f t="shared" si="1"/>
        <v>1498433.47</v>
      </c>
      <c r="O6" s="7">
        <f t="shared" si="3"/>
        <v>5303944.38</v>
      </c>
    </row>
    <row r="7" spans="1:15" x14ac:dyDescent="0.25">
      <c r="A7" t="s">
        <v>107</v>
      </c>
      <c r="B7">
        <v>50856</v>
      </c>
      <c r="C7" t="s">
        <v>205</v>
      </c>
      <c r="D7" t="s">
        <v>847</v>
      </c>
      <c r="E7" s="6">
        <v>4317689.0999999996</v>
      </c>
      <c r="F7" s="6">
        <v>243518.55</v>
      </c>
      <c r="G7" s="7">
        <v>89707.55</v>
      </c>
      <c r="H7" s="7">
        <v>999791.04</v>
      </c>
      <c r="I7" s="6">
        <f t="shared" si="0"/>
        <v>4476727.76</v>
      </c>
      <c r="J7" s="7">
        <f t="shared" si="2"/>
        <v>2843377.67</v>
      </c>
      <c r="K7" s="7">
        <v>543787.22</v>
      </c>
      <c r="L7">
        <v>84479.89</v>
      </c>
      <c r="M7" s="7">
        <v>64.28</v>
      </c>
      <c r="N7" s="7">
        <f t="shared" si="1"/>
        <v>1089498.5900000001</v>
      </c>
      <c r="O7" s="7">
        <f t="shared" si="3"/>
        <v>4561207.6499999994</v>
      </c>
    </row>
    <row r="8" spans="1:15" s="12" customFormat="1" x14ac:dyDescent="0.25">
      <c r="A8" s="12" t="s">
        <v>109</v>
      </c>
      <c r="B8" s="12">
        <v>50880</v>
      </c>
      <c r="C8" s="12" t="s">
        <v>206</v>
      </c>
      <c r="D8" s="12" t="s">
        <v>848</v>
      </c>
      <c r="E8" s="33">
        <v>29924880.629999999</v>
      </c>
      <c r="F8" s="33">
        <v>276461.49</v>
      </c>
      <c r="G8" s="34">
        <v>97125.69</v>
      </c>
      <c r="H8" s="34">
        <v>9692365.5700000003</v>
      </c>
      <c r="I8" s="33">
        <f t="shared" si="0"/>
        <v>30048915.399999999</v>
      </c>
      <c r="J8" s="34">
        <f t="shared" si="2"/>
        <v>17675767.210000001</v>
      </c>
      <c r="K8" s="34">
        <v>2536866.27</v>
      </c>
      <c r="L8" s="12">
        <v>152426.72</v>
      </c>
      <c r="M8" s="34">
        <v>46790.66</v>
      </c>
      <c r="N8" s="34">
        <f t="shared" si="1"/>
        <v>9789491.2599999998</v>
      </c>
      <c r="O8" s="7">
        <f t="shared" si="3"/>
        <v>30201342.119999997</v>
      </c>
    </row>
    <row r="9" spans="1:15" x14ac:dyDescent="0.25">
      <c r="A9" t="s">
        <v>111</v>
      </c>
      <c r="B9">
        <v>50906</v>
      </c>
      <c r="C9" t="s">
        <v>207</v>
      </c>
      <c r="D9" t="s">
        <v>849</v>
      </c>
      <c r="E9" s="6">
        <v>3531426.42</v>
      </c>
      <c r="F9" s="6">
        <v>308005.5</v>
      </c>
      <c r="G9" s="7">
        <v>111512.7</v>
      </c>
      <c r="H9" s="7">
        <v>656649.69999999995</v>
      </c>
      <c r="I9" s="6">
        <f t="shared" si="0"/>
        <v>3794379.1</v>
      </c>
      <c r="J9" s="7">
        <f t="shared" si="2"/>
        <v>2752494.77</v>
      </c>
      <c r="K9" s="7">
        <v>273721.93</v>
      </c>
      <c r="L9">
        <v>45052.82</v>
      </c>
      <c r="M9" s="7">
        <v>0</v>
      </c>
      <c r="N9" s="7">
        <f t="shared" si="1"/>
        <v>768162.39999999991</v>
      </c>
      <c r="O9" s="7">
        <f t="shared" si="3"/>
        <v>3839431.92</v>
      </c>
    </row>
    <row r="10" spans="1:15" x14ac:dyDescent="0.25">
      <c r="A10" t="s">
        <v>113</v>
      </c>
      <c r="B10">
        <v>50922</v>
      </c>
      <c r="C10" t="s">
        <v>208</v>
      </c>
      <c r="D10" t="s">
        <v>850</v>
      </c>
      <c r="E10" s="6">
        <v>1664148.53</v>
      </c>
      <c r="F10" s="6">
        <v>0</v>
      </c>
      <c r="G10" s="7">
        <v>0</v>
      </c>
      <c r="H10" s="7">
        <v>95641.36</v>
      </c>
      <c r="I10" s="6">
        <f t="shared" si="0"/>
        <v>1646333.35</v>
      </c>
      <c r="J10" s="7">
        <f t="shared" si="2"/>
        <v>1511526.28</v>
      </c>
      <c r="K10" s="7">
        <v>39137.31</v>
      </c>
      <c r="L10">
        <v>17815.18</v>
      </c>
      <c r="M10" s="7">
        <v>28.4</v>
      </c>
      <c r="N10" s="7">
        <f t="shared" si="1"/>
        <v>95641.36</v>
      </c>
      <c r="O10" s="7">
        <f t="shared" si="3"/>
        <v>1664148.53</v>
      </c>
    </row>
    <row r="11" spans="1:15" x14ac:dyDescent="0.25">
      <c r="A11" t="s">
        <v>115</v>
      </c>
      <c r="B11">
        <v>50948</v>
      </c>
      <c r="C11" t="s">
        <v>208</v>
      </c>
      <c r="D11" t="s">
        <v>851</v>
      </c>
      <c r="E11" s="6">
        <v>2719635.99</v>
      </c>
      <c r="F11" s="6">
        <v>0</v>
      </c>
      <c r="G11" s="7">
        <v>0</v>
      </c>
      <c r="H11" s="7">
        <v>1065352.08</v>
      </c>
      <c r="I11" s="6">
        <f t="shared" si="0"/>
        <v>2718298.5100000002</v>
      </c>
      <c r="J11" s="7">
        <f t="shared" si="2"/>
        <v>1361780.85</v>
      </c>
      <c r="K11" s="7">
        <v>291165.58</v>
      </c>
      <c r="L11">
        <v>1337.48</v>
      </c>
      <c r="M11" s="7">
        <v>0</v>
      </c>
      <c r="N11" s="7">
        <f t="shared" si="1"/>
        <v>1065352.08</v>
      </c>
      <c r="O11" s="7">
        <f t="shared" si="3"/>
        <v>2719635.99</v>
      </c>
    </row>
    <row r="12" spans="1:15" x14ac:dyDescent="0.25">
      <c r="A12" t="s">
        <v>117</v>
      </c>
      <c r="B12">
        <v>50963</v>
      </c>
      <c r="C12" t="s">
        <v>209</v>
      </c>
      <c r="D12" t="s">
        <v>852</v>
      </c>
      <c r="E12" s="6">
        <v>7222243.4199999999</v>
      </c>
      <c r="F12" s="6">
        <v>159773.76000000001</v>
      </c>
      <c r="G12" s="7">
        <v>52316.76</v>
      </c>
      <c r="H12" s="7">
        <v>2000055.48</v>
      </c>
      <c r="I12" s="6">
        <f t="shared" si="0"/>
        <v>7297433.96</v>
      </c>
      <c r="J12" s="7">
        <f t="shared" si="2"/>
        <v>4038890.08</v>
      </c>
      <c r="K12" s="7">
        <v>1205386.81</v>
      </c>
      <c r="L12">
        <v>84583.22</v>
      </c>
      <c r="M12" s="7">
        <v>784.83</v>
      </c>
      <c r="N12" s="7">
        <f t="shared" si="1"/>
        <v>2052372.24</v>
      </c>
      <c r="O12" s="7">
        <f t="shared" si="3"/>
        <v>7382017.1799999997</v>
      </c>
    </row>
    <row r="13" spans="1:15" x14ac:dyDescent="0.25">
      <c r="A13" t="s">
        <v>119</v>
      </c>
      <c r="B13">
        <v>50989</v>
      </c>
      <c r="C13" t="s">
        <v>210</v>
      </c>
      <c r="D13" t="s">
        <v>853</v>
      </c>
      <c r="E13" s="6">
        <v>2301028.4700000002</v>
      </c>
      <c r="F13" s="6">
        <v>1273163.03</v>
      </c>
      <c r="G13" s="7">
        <v>506215.03</v>
      </c>
      <c r="H13" s="7">
        <v>86335.32</v>
      </c>
      <c r="I13" s="6">
        <f t="shared" si="0"/>
        <v>3568384.73</v>
      </c>
      <c r="J13" s="7">
        <f t="shared" si="2"/>
        <v>2938804.42</v>
      </c>
      <c r="K13" s="7">
        <v>37029.96</v>
      </c>
      <c r="L13">
        <v>5806.77</v>
      </c>
      <c r="M13" s="7">
        <v>0</v>
      </c>
      <c r="N13" s="7">
        <f t="shared" si="1"/>
        <v>592550.35000000009</v>
      </c>
      <c r="O13" s="7">
        <f t="shared" si="3"/>
        <v>3574191.5</v>
      </c>
    </row>
    <row r="14" spans="1:15" x14ac:dyDescent="0.25">
      <c r="A14" t="s">
        <v>121</v>
      </c>
      <c r="B14">
        <v>51003</v>
      </c>
      <c r="C14" t="s">
        <v>211</v>
      </c>
      <c r="D14" t="s">
        <v>854</v>
      </c>
      <c r="E14" s="6">
        <v>4829191.1399999997</v>
      </c>
      <c r="F14" s="6">
        <v>521489.42</v>
      </c>
      <c r="G14" s="7">
        <v>174436.42</v>
      </c>
      <c r="H14" s="7">
        <v>985115.16</v>
      </c>
      <c r="I14" s="6">
        <f t="shared" si="0"/>
        <v>5347671.0699999994</v>
      </c>
      <c r="J14" s="7">
        <f t="shared" si="2"/>
        <v>3729305.9699999997</v>
      </c>
      <c r="K14" s="7">
        <v>447082.98</v>
      </c>
      <c r="L14">
        <v>3009.49</v>
      </c>
      <c r="M14" s="7">
        <v>11730.54</v>
      </c>
      <c r="N14" s="7">
        <f t="shared" si="1"/>
        <v>1159551.58</v>
      </c>
      <c r="O14" s="7">
        <f t="shared" si="3"/>
        <v>5350680.5599999996</v>
      </c>
    </row>
    <row r="15" spans="1:15" x14ac:dyDescent="0.25">
      <c r="A15" t="s">
        <v>123</v>
      </c>
      <c r="B15">
        <v>51029</v>
      </c>
      <c r="C15" t="s">
        <v>212</v>
      </c>
      <c r="D15" t="s">
        <v>855</v>
      </c>
      <c r="E15" s="6">
        <v>5194542.9000000004</v>
      </c>
      <c r="F15" s="6">
        <v>476065.26</v>
      </c>
      <c r="G15" s="7">
        <v>153152.46</v>
      </c>
      <c r="H15" s="7">
        <v>1510542.5</v>
      </c>
      <c r="I15" s="6">
        <f t="shared" si="0"/>
        <v>5593679.6200000001</v>
      </c>
      <c r="J15" s="7">
        <f t="shared" si="2"/>
        <v>3195287.88</v>
      </c>
      <c r="K15" s="7">
        <v>733977.71</v>
      </c>
      <c r="L15">
        <v>76928.539999999994</v>
      </c>
      <c r="M15" s="7">
        <v>719.07</v>
      </c>
      <c r="N15" s="7">
        <f t="shared" si="1"/>
        <v>1663694.96</v>
      </c>
      <c r="O15" s="7">
        <f t="shared" si="3"/>
        <v>5670608.1600000001</v>
      </c>
    </row>
    <row r="16" spans="1:15" x14ac:dyDescent="0.25">
      <c r="A16" t="s">
        <v>125</v>
      </c>
      <c r="B16">
        <v>51045</v>
      </c>
      <c r="C16" t="s">
        <v>213</v>
      </c>
      <c r="D16" t="s">
        <v>856</v>
      </c>
      <c r="E16" s="6">
        <v>5334285.63</v>
      </c>
      <c r="F16" s="6">
        <v>300500.76</v>
      </c>
      <c r="G16" s="7">
        <v>98288.960000000006</v>
      </c>
      <c r="H16" s="7">
        <v>1679493.89</v>
      </c>
      <c r="I16" s="6">
        <f t="shared" si="0"/>
        <v>5603156</v>
      </c>
      <c r="J16" s="7">
        <f t="shared" si="2"/>
        <v>2752343.95</v>
      </c>
      <c r="K16" s="7">
        <v>1071389.03</v>
      </c>
      <c r="L16">
        <v>31630.39</v>
      </c>
      <c r="M16" s="7">
        <v>1640.17</v>
      </c>
      <c r="N16" s="7">
        <f t="shared" si="1"/>
        <v>1777782.8499999999</v>
      </c>
      <c r="O16" s="7">
        <f t="shared" si="3"/>
        <v>5634786.3899999997</v>
      </c>
    </row>
    <row r="17" spans="1:15" x14ac:dyDescent="0.25">
      <c r="A17" t="s">
        <v>127</v>
      </c>
      <c r="B17">
        <v>51060</v>
      </c>
      <c r="C17" t="s">
        <v>214</v>
      </c>
      <c r="D17" t="s">
        <v>857</v>
      </c>
      <c r="E17" s="6">
        <v>18595900.260000002</v>
      </c>
      <c r="F17" s="6">
        <v>789326.57</v>
      </c>
      <c r="G17" s="7">
        <v>241024.97</v>
      </c>
      <c r="H17" s="7">
        <v>6859427.29</v>
      </c>
      <c r="I17" s="6">
        <f t="shared" si="0"/>
        <v>19127829.16</v>
      </c>
      <c r="J17" s="7">
        <f t="shared" si="2"/>
        <v>9869287.7599999998</v>
      </c>
      <c r="K17" s="7">
        <v>2148971.66</v>
      </c>
      <c r="L17">
        <v>257397.67</v>
      </c>
      <c r="M17" s="7">
        <v>9117.48</v>
      </c>
      <c r="N17" s="7">
        <f t="shared" si="1"/>
        <v>7100452.2599999998</v>
      </c>
      <c r="O17" s="7">
        <f t="shared" si="3"/>
        <v>19385226.830000002</v>
      </c>
    </row>
    <row r="18" spans="1:15" x14ac:dyDescent="0.25">
      <c r="A18" t="s">
        <v>129</v>
      </c>
      <c r="B18">
        <v>51128</v>
      </c>
      <c r="C18" t="s">
        <v>215</v>
      </c>
      <c r="D18" t="s">
        <v>858</v>
      </c>
      <c r="E18" s="6">
        <v>2531204.58</v>
      </c>
      <c r="F18" s="6">
        <v>197911.13</v>
      </c>
      <c r="G18" s="7">
        <v>61678.53</v>
      </c>
      <c r="H18" s="7">
        <v>603366.96</v>
      </c>
      <c r="I18" s="6">
        <f t="shared" si="0"/>
        <v>2621384.29</v>
      </c>
      <c r="J18" s="7">
        <f t="shared" si="2"/>
        <v>1602325.11</v>
      </c>
      <c r="K18" s="7">
        <v>354013.69</v>
      </c>
      <c r="L18">
        <v>107731.42</v>
      </c>
      <c r="M18" s="7">
        <v>0</v>
      </c>
      <c r="N18" s="7">
        <f t="shared" si="1"/>
        <v>665045.49</v>
      </c>
      <c r="O18" s="7">
        <f t="shared" si="3"/>
        <v>2729115.71</v>
      </c>
    </row>
    <row r="19" spans="1:15" x14ac:dyDescent="0.25">
      <c r="A19" t="s">
        <v>131</v>
      </c>
      <c r="B19">
        <v>51144</v>
      </c>
      <c r="C19" t="s">
        <v>216</v>
      </c>
      <c r="D19" t="s">
        <v>859</v>
      </c>
      <c r="E19" s="6">
        <v>4895251.9800000004</v>
      </c>
      <c r="F19" s="6">
        <v>289532.09000000003</v>
      </c>
      <c r="G19" s="7">
        <v>93340.29</v>
      </c>
      <c r="H19" s="7">
        <v>1183232.81</v>
      </c>
      <c r="I19" s="6">
        <f t="shared" si="0"/>
        <v>5105215.04</v>
      </c>
      <c r="J19" s="7">
        <f t="shared" si="2"/>
        <v>3209774.94</v>
      </c>
      <c r="K19" s="7">
        <v>618867</v>
      </c>
      <c r="L19">
        <v>79569.03</v>
      </c>
      <c r="M19" s="7">
        <v>0</v>
      </c>
      <c r="N19" s="7">
        <f t="shared" si="1"/>
        <v>1276573.1000000001</v>
      </c>
      <c r="O19" s="7">
        <f t="shared" si="3"/>
        <v>5184784.07</v>
      </c>
    </row>
    <row r="20" spans="1:15" x14ac:dyDescent="0.25">
      <c r="A20" t="s">
        <v>133</v>
      </c>
      <c r="B20">
        <v>51169</v>
      </c>
      <c r="C20" t="s">
        <v>217</v>
      </c>
      <c r="D20" t="s">
        <v>860</v>
      </c>
      <c r="E20" s="6">
        <v>1776051.87</v>
      </c>
      <c r="F20" s="6">
        <v>95817.72</v>
      </c>
      <c r="G20" s="7">
        <v>40433.72</v>
      </c>
      <c r="H20" s="7">
        <v>83125.070000000007</v>
      </c>
      <c r="I20" s="6">
        <f t="shared" si="0"/>
        <v>1860987.27</v>
      </c>
      <c r="J20" s="7">
        <f t="shared" si="2"/>
        <v>1716689.51</v>
      </c>
      <c r="K20" s="7">
        <v>20738.97</v>
      </c>
      <c r="L20">
        <v>10882.32</v>
      </c>
      <c r="M20" s="7">
        <v>0</v>
      </c>
      <c r="N20" s="7">
        <f t="shared" si="1"/>
        <v>123558.79000000001</v>
      </c>
      <c r="O20" s="7">
        <f t="shared" si="3"/>
        <v>1871869.59</v>
      </c>
    </row>
    <row r="21" spans="1:15" x14ac:dyDescent="0.25">
      <c r="A21" t="s">
        <v>135</v>
      </c>
      <c r="B21">
        <v>51185</v>
      </c>
      <c r="C21" t="s">
        <v>218</v>
      </c>
      <c r="D21" t="s">
        <v>861</v>
      </c>
      <c r="E21" s="6">
        <v>5757093.1299999999</v>
      </c>
      <c r="F21" s="6">
        <v>52886.83</v>
      </c>
      <c r="G21" s="7">
        <v>18633.03</v>
      </c>
      <c r="H21" s="7">
        <v>1577974.75</v>
      </c>
      <c r="I21" s="6">
        <f t="shared" si="0"/>
        <v>4958231.9399999995</v>
      </c>
      <c r="J21" s="7">
        <f t="shared" si="2"/>
        <v>2643896.7999999989</v>
      </c>
      <c r="K21" s="7">
        <v>717727.36</v>
      </c>
      <c r="L21">
        <v>851748.02</v>
      </c>
      <c r="M21" s="7">
        <v>0</v>
      </c>
      <c r="N21" s="7">
        <f t="shared" si="1"/>
        <v>1596607.78</v>
      </c>
      <c r="O21" s="7">
        <f t="shared" si="3"/>
        <v>5809979.96</v>
      </c>
    </row>
    <row r="22" spans="1:15" x14ac:dyDescent="0.25">
      <c r="A22" t="s">
        <v>137</v>
      </c>
      <c r="B22">
        <v>51201</v>
      </c>
      <c r="C22" t="s">
        <v>219</v>
      </c>
      <c r="D22" t="s">
        <v>862</v>
      </c>
      <c r="E22" s="6">
        <v>4954042.3899999997</v>
      </c>
      <c r="F22" s="6">
        <v>184741.31</v>
      </c>
      <c r="G22" s="7">
        <v>49833.11</v>
      </c>
      <c r="H22" s="7">
        <v>1278467.98</v>
      </c>
      <c r="I22" s="6">
        <f t="shared" si="0"/>
        <v>5112340.709999999</v>
      </c>
      <c r="J22" s="7">
        <f t="shared" si="2"/>
        <v>3388932.9099999992</v>
      </c>
      <c r="K22" s="7">
        <v>395106.71</v>
      </c>
      <c r="L22">
        <v>26442.99</v>
      </c>
      <c r="M22" s="7">
        <v>0</v>
      </c>
      <c r="N22" s="7">
        <f t="shared" si="1"/>
        <v>1328301.0900000001</v>
      </c>
      <c r="O22" s="7">
        <f t="shared" si="3"/>
        <v>5138783.6999999993</v>
      </c>
    </row>
    <row r="23" spans="1:15" x14ac:dyDescent="0.25">
      <c r="A23" t="s">
        <v>139</v>
      </c>
      <c r="B23">
        <v>51227</v>
      </c>
      <c r="C23" t="s">
        <v>220</v>
      </c>
      <c r="D23" t="s">
        <v>863</v>
      </c>
      <c r="E23" s="6">
        <v>6384634.3899999997</v>
      </c>
      <c r="F23" s="6">
        <v>472966.12</v>
      </c>
      <c r="G23" s="7">
        <v>143310.92000000001</v>
      </c>
      <c r="H23" s="7">
        <v>1253370.43</v>
      </c>
      <c r="I23" s="6">
        <f t="shared" si="0"/>
        <v>6789177.7599999998</v>
      </c>
      <c r="J23" s="7">
        <f t="shared" si="2"/>
        <v>4566343.3499999996</v>
      </c>
      <c r="K23" s="7">
        <v>824549.78</v>
      </c>
      <c r="L23">
        <v>68422.75</v>
      </c>
      <c r="M23" s="7">
        <v>1603.28</v>
      </c>
      <c r="N23" s="7">
        <f t="shared" si="1"/>
        <v>1396681.3499999999</v>
      </c>
      <c r="O23" s="7">
        <f t="shared" si="3"/>
        <v>6857600.5099999998</v>
      </c>
    </row>
    <row r="24" spans="1:15" x14ac:dyDescent="0.25">
      <c r="A24" t="s">
        <v>141</v>
      </c>
      <c r="B24">
        <v>51243</v>
      </c>
      <c r="C24" t="s">
        <v>221</v>
      </c>
      <c r="D24" t="s">
        <v>864</v>
      </c>
      <c r="E24" s="6">
        <v>3803713.39</v>
      </c>
      <c r="F24" s="6">
        <v>663280.01</v>
      </c>
      <c r="G24" s="7">
        <v>234054.01</v>
      </c>
      <c r="H24" s="7">
        <v>1250133.29</v>
      </c>
      <c r="I24" s="6">
        <f t="shared" si="0"/>
        <v>4324415.96</v>
      </c>
      <c r="J24" s="7">
        <f t="shared" si="2"/>
        <v>2213978.7699999996</v>
      </c>
      <c r="K24" s="7">
        <v>625098.06000000006</v>
      </c>
      <c r="L24">
        <v>142577.44</v>
      </c>
      <c r="M24" s="7">
        <v>1151.83</v>
      </c>
      <c r="N24" s="7">
        <f t="shared" si="1"/>
        <v>1484187.3</v>
      </c>
      <c r="O24" s="7">
        <f t="shared" si="3"/>
        <v>4466993.4000000004</v>
      </c>
    </row>
    <row r="25" spans="1:15" x14ac:dyDescent="0.25">
      <c r="A25" t="s">
        <v>143</v>
      </c>
      <c r="B25">
        <v>51284</v>
      </c>
      <c r="C25" t="s">
        <v>222</v>
      </c>
      <c r="D25" t="s">
        <v>865</v>
      </c>
      <c r="E25" s="6">
        <v>14505287.390000001</v>
      </c>
      <c r="F25" s="6">
        <v>818839.55</v>
      </c>
      <c r="G25" s="7">
        <v>267467.75</v>
      </c>
      <c r="H25" s="7">
        <v>4704472.91</v>
      </c>
      <c r="I25" s="6">
        <f t="shared" si="0"/>
        <v>15251065.690000001</v>
      </c>
      <c r="J25" s="7">
        <f t="shared" si="2"/>
        <v>8998058.2500000019</v>
      </c>
      <c r="K25" s="7">
        <v>1281066.78</v>
      </c>
      <c r="L25">
        <v>73061.25</v>
      </c>
      <c r="M25" s="7">
        <v>0</v>
      </c>
      <c r="N25" s="7">
        <f t="shared" si="1"/>
        <v>4971940.66</v>
      </c>
      <c r="O25" s="7">
        <f t="shared" si="3"/>
        <v>15324126.940000001</v>
      </c>
    </row>
    <row r="26" spans="1:15" x14ac:dyDescent="0.25">
      <c r="A26" t="s">
        <v>145</v>
      </c>
      <c r="B26">
        <v>51300</v>
      </c>
      <c r="C26" t="s">
        <v>223</v>
      </c>
      <c r="D26" t="s">
        <v>866</v>
      </c>
      <c r="E26" s="6">
        <v>8252100.8300000001</v>
      </c>
      <c r="F26" s="6">
        <v>104101.2</v>
      </c>
      <c r="G26" s="7">
        <v>34690.6</v>
      </c>
      <c r="H26" s="7">
        <v>2431855.7400000002</v>
      </c>
      <c r="I26" s="6">
        <f t="shared" si="0"/>
        <v>8179203.0800000001</v>
      </c>
      <c r="J26" s="7">
        <f t="shared" si="2"/>
        <v>4635592.3100000005</v>
      </c>
      <c r="K26" s="7">
        <v>1077064.43</v>
      </c>
      <c r="L26">
        <v>176998.95</v>
      </c>
      <c r="M26" s="7">
        <v>0</v>
      </c>
      <c r="N26" s="7">
        <f t="shared" si="1"/>
        <v>2466546.3400000003</v>
      </c>
      <c r="O26" s="7">
        <f t="shared" si="3"/>
        <v>8356202.0300000003</v>
      </c>
    </row>
    <row r="27" spans="1:15" x14ac:dyDescent="0.25">
      <c r="A27" t="s">
        <v>147</v>
      </c>
      <c r="B27">
        <v>51334</v>
      </c>
      <c r="C27" t="s">
        <v>224</v>
      </c>
      <c r="D27" t="s">
        <v>867</v>
      </c>
      <c r="E27" s="6">
        <v>6397664.7300000004</v>
      </c>
      <c r="F27" s="6">
        <v>210681.49</v>
      </c>
      <c r="G27" s="7">
        <v>73184.69</v>
      </c>
      <c r="H27" s="7">
        <v>2174737.81</v>
      </c>
      <c r="I27" s="6">
        <f t="shared" si="0"/>
        <v>6593361.2500000009</v>
      </c>
      <c r="J27" s="7">
        <f t="shared" si="2"/>
        <v>3618879.5300000012</v>
      </c>
      <c r="K27" s="7">
        <v>726474.85</v>
      </c>
      <c r="L27">
        <v>14984.97</v>
      </c>
      <c r="M27" s="7">
        <v>84.37</v>
      </c>
      <c r="N27" s="7">
        <f t="shared" si="1"/>
        <v>2247922.5</v>
      </c>
      <c r="O27" s="7">
        <f t="shared" si="3"/>
        <v>6608346.2200000007</v>
      </c>
    </row>
    <row r="28" spans="1:15" x14ac:dyDescent="0.25">
      <c r="A28" t="s">
        <v>149</v>
      </c>
      <c r="B28">
        <v>51359</v>
      </c>
      <c r="C28" t="s">
        <v>225</v>
      </c>
      <c r="D28" t="s">
        <v>868</v>
      </c>
      <c r="E28" s="6">
        <v>16157492.869999999</v>
      </c>
      <c r="F28" s="6">
        <v>537538.69999999995</v>
      </c>
      <c r="G28" s="7">
        <v>179348.7</v>
      </c>
      <c r="H28" s="7">
        <v>4417909.99</v>
      </c>
      <c r="I28" s="6">
        <f t="shared" si="0"/>
        <v>16534093.939999998</v>
      </c>
      <c r="J28" s="7">
        <f t="shared" si="2"/>
        <v>9613506.4999999963</v>
      </c>
      <c r="K28" s="7">
        <v>2322781.48</v>
      </c>
      <c r="L28">
        <v>160937.63</v>
      </c>
      <c r="M28" s="7">
        <v>547.27</v>
      </c>
      <c r="N28" s="7">
        <f t="shared" si="1"/>
        <v>4597258.6900000004</v>
      </c>
      <c r="O28" s="7">
        <f t="shared" si="3"/>
        <v>16695031.569999998</v>
      </c>
    </row>
    <row r="29" spans="1:15" x14ac:dyDescent="0.25">
      <c r="A29" t="s">
        <v>151</v>
      </c>
      <c r="B29">
        <v>51375</v>
      </c>
      <c r="C29" t="s">
        <v>226</v>
      </c>
      <c r="D29" t="s">
        <v>869</v>
      </c>
      <c r="E29" s="6">
        <v>4419950.9800000004</v>
      </c>
      <c r="F29" s="6">
        <v>164044.96</v>
      </c>
      <c r="G29" s="7">
        <v>50387.360000000001</v>
      </c>
      <c r="H29" s="7">
        <v>1123329.3799999999</v>
      </c>
      <c r="I29" s="6">
        <f t="shared" si="0"/>
        <v>4350826.37</v>
      </c>
      <c r="J29" s="7">
        <f t="shared" si="2"/>
        <v>2467530.2700000005</v>
      </c>
      <c r="K29" s="7">
        <v>709579.36</v>
      </c>
      <c r="L29">
        <v>233169.57</v>
      </c>
      <c r="M29" s="7">
        <v>0</v>
      </c>
      <c r="N29" s="7">
        <f t="shared" si="1"/>
        <v>1173716.74</v>
      </c>
      <c r="O29" s="7">
        <f t="shared" si="3"/>
        <v>4583995.9400000004</v>
      </c>
    </row>
    <row r="30" spans="1:15" x14ac:dyDescent="0.25">
      <c r="A30" t="s">
        <v>153</v>
      </c>
      <c r="B30">
        <v>51391</v>
      </c>
      <c r="C30" t="s">
        <v>227</v>
      </c>
      <c r="D30" t="s">
        <v>870</v>
      </c>
      <c r="E30" s="6">
        <v>4584502.2699999996</v>
      </c>
      <c r="F30" s="6">
        <v>219234.21</v>
      </c>
      <c r="G30" s="7">
        <v>67590.41</v>
      </c>
      <c r="H30" s="7">
        <v>1192524.3400000001</v>
      </c>
      <c r="I30" s="6">
        <f t="shared" si="0"/>
        <v>4704918.9499999993</v>
      </c>
      <c r="J30" s="7">
        <f t="shared" si="2"/>
        <v>2759080.7199999993</v>
      </c>
      <c r="K30" s="7">
        <v>685723.48</v>
      </c>
      <c r="L30">
        <v>98817.53</v>
      </c>
      <c r="M30" s="7">
        <v>0</v>
      </c>
      <c r="N30" s="7">
        <f t="shared" si="1"/>
        <v>1260114.75</v>
      </c>
      <c r="O30" s="7">
        <f t="shared" si="3"/>
        <v>4803736.4799999995</v>
      </c>
    </row>
    <row r="31" spans="1:15" x14ac:dyDescent="0.25">
      <c r="A31" t="s">
        <v>155</v>
      </c>
      <c r="B31">
        <v>51417</v>
      </c>
      <c r="C31" t="s">
        <v>228</v>
      </c>
      <c r="D31" t="s">
        <v>871</v>
      </c>
      <c r="E31" s="6">
        <v>10747307.710000001</v>
      </c>
      <c r="F31" s="6">
        <v>890402.19</v>
      </c>
      <c r="G31" s="7">
        <v>300863.59000000003</v>
      </c>
      <c r="H31" s="7">
        <v>3337470.82</v>
      </c>
      <c r="I31" s="6">
        <f t="shared" si="0"/>
        <v>11460049.380000001</v>
      </c>
      <c r="J31" s="7">
        <f t="shared" si="2"/>
        <v>6589005.5200000014</v>
      </c>
      <c r="K31" s="7">
        <v>1229201.6100000001</v>
      </c>
      <c r="L31">
        <v>177660.52</v>
      </c>
      <c r="M31" s="7">
        <v>3507.84</v>
      </c>
      <c r="N31" s="7">
        <f t="shared" si="1"/>
        <v>3638334.4099999997</v>
      </c>
      <c r="O31" s="7">
        <f t="shared" si="3"/>
        <v>11637709.9</v>
      </c>
    </row>
    <row r="32" spans="1:15" x14ac:dyDescent="0.25">
      <c r="A32" t="s">
        <v>157</v>
      </c>
      <c r="B32">
        <v>51433</v>
      </c>
      <c r="C32" t="s">
        <v>229</v>
      </c>
      <c r="D32" t="s">
        <v>872</v>
      </c>
      <c r="E32" s="6">
        <v>10140777.08</v>
      </c>
      <c r="F32" s="6">
        <v>247141.47</v>
      </c>
      <c r="G32" s="7">
        <v>87491.07</v>
      </c>
      <c r="H32" s="7">
        <v>3046593.96</v>
      </c>
      <c r="I32" s="6">
        <f t="shared" si="0"/>
        <v>10061223.300000001</v>
      </c>
      <c r="J32" s="7">
        <f t="shared" si="2"/>
        <v>5632617.6800000016</v>
      </c>
      <c r="K32" s="7">
        <v>1294520.5900000001</v>
      </c>
      <c r="L32">
        <v>326695.25</v>
      </c>
      <c r="M32" s="7">
        <v>0</v>
      </c>
      <c r="N32" s="7">
        <f t="shared" si="1"/>
        <v>3134085.03</v>
      </c>
      <c r="O32" s="7">
        <f t="shared" si="3"/>
        <v>10387918.550000001</v>
      </c>
    </row>
    <row r="33" spans="1:15" x14ac:dyDescent="0.25">
      <c r="A33" t="s">
        <v>159</v>
      </c>
      <c r="B33">
        <v>51458</v>
      </c>
      <c r="C33" t="s">
        <v>230</v>
      </c>
      <c r="D33" t="s">
        <v>873</v>
      </c>
      <c r="E33" s="6">
        <v>8000272.0999999996</v>
      </c>
      <c r="F33" s="6">
        <v>242462.5</v>
      </c>
      <c r="G33" s="7">
        <v>94611.3</v>
      </c>
      <c r="H33" s="7">
        <v>1870598.84</v>
      </c>
      <c r="I33" s="6">
        <f t="shared" si="0"/>
        <v>8152895.5299999993</v>
      </c>
      <c r="J33" s="7">
        <f t="shared" si="2"/>
        <v>5701717.1199999992</v>
      </c>
      <c r="K33" s="7">
        <v>485617.49</v>
      </c>
      <c r="L33">
        <v>89839.07</v>
      </c>
      <c r="M33" s="7">
        <v>350.78</v>
      </c>
      <c r="N33" s="7">
        <f t="shared" si="1"/>
        <v>1965210.1400000001</v>
      </c>
      <c r="O33" s="7">
        <f t="shared" si="3"/>
        <v>8242734.5999999996</v>
      </c>
    </row>
    <row r="34" spans="1:15" x14ac:dyDescent="0.25">
      <c r="A34" t="s">
        <v>161</v>
      </c>
      <c r="B34">
        <v>51474</v>
      </c>
      <c r="C34" t="s">
        <v>231</v>
      </c>
      <c r="D34" t="s">
        <v>874</v>
      </c>
      <c r="E34" s="6">
        <v>6498810.5199999996</v>
      </c>
      <c r="F34" s="6">
        <v>737363.87</v>
      </c>
      <c r="G34" s="7">
        <v>238185.47</v>
      </c>
      <c r="H34" s="7">
        <v>2251793.1</v>
      </c>
      <c r="I34" s="6">
        <f t="shared" si="0"/>
        <v>7225285.3399999999</v>
      </c>
      <c r="J34" s="7">
        <f t="shared" si="2"/>
        <v>3853633.67</v>
      </c>
      <c r="K34" s="7">
        <v>879345.27</v>
      </c>
      <c r="L34">
        <v>10889.05</v>
      </c>
      <c r="M34" s="7">
        <v>2327.83</v>
      </c>
      <c r="N34" s="7">
        <f t="shared" si="1"/>
        <v>2489978.5700000003</v>
      </c>
      <c r="O34" s="7">
        <f t="shared" si="3"/>
        <v>7236174.3899999997</v>
      </c>
    </row>
    <row r="35" spans="1:15" x14ac:dyDescent="0.25">
      <c r="A35" t="s">
        <v>163</v>
      </c>
      <c r="B35">
        <v>51490</v>
      </c>
      <c r="C35" t="s">
        <v>232</v>
      </c>
      <c r="D35" t="s">
        <v>875</v>
      </c>
      <c r="E35" s="6">
        <v>5222967.3499999996</v>
      </c>
      <c r="F35" s="6">
        <v>165906.47</v>
      </c>
      <c r="G35" s="7">
        <v>46891.07</v>
      </c>
      <c r="H35" s="7">
        <v>1431356.65</v>
      </c>
      <c r="I35" s="6">
        <f t="shared" si="0"/>
        <v>4872565.1899999995</v>
      </c>
      <c r="J35" s="7">
        <f t="shared" si="2"/>
        <v>2712974.01</v>
      </c>
      <c r="K35" s="7">
        <v>681343.46</v>
      </c>
      <c r="L35">
        <v>516308.63</v>
      </c>
      <c r="M35" s="7">
        <v>0</v>
      </c>
      <c r="N35" s="7">
        <f t="shared" si="1"/>
        <v>1478247.72</v>
      </c>
      <c r="O35" s="7">
        <f t="shared" si="3"/>
        <v>5388873.8199999994</v>
      </c>
    </row>
    <row r="36" spans="1:15" x14ac:dyDescent="0.25">
      <c r="A36" t="s">
        <v>165</v>
      </c>
      <c r="B36">
        <v>51532</v>
      </c>
      <c r="C36" t="s">
        <v>233</v>
      </c>
      <c r="D36" t="s">
        <v>876</v>
      </c>
      <c r="E36" s="6">
        <v>5777286.3099999996</v>
      </c>
      <c r="F36" s="6">
        <v>91714.880000000005</v>
      </c>
      <c r="G36" s="7">
        <v>32779.08</v>
      </c>
      <c r="H36" s="7">
        <v>1616917.44</v>
      </c>
      <c r="I36" s="6">
        <f t="shared" si="0"/>
        <v>5748251.8699999992</v>
      </c>
      <c r="J36" s="7">
        <f t="shared" si="2"/>
        <v>3407062.9999999995</v>
      </c>
      <c r="K36" s="7">
        <v>683659.43</v>
      </c>
      <c r="L36">
        <v>120749.32</v>
      </c>
      <c r="M36" s="7">
        <v>7832.92</v>
      </c>
      <c r="N36" s="7">
        <f t="shared" si="1"/>
        <v>1649696.52</v>
      </c>
      <c r="O36" s="7">
        <f t="shared" si="3"/>
        <v>5869001.1899999995</v>
      </c>
    </row>
    <row r="37" spans="1:15" x14ac:dyDescent="0.25">
      <c r="A37" t="s">
        <v>167</v>
      </c>
      <c r="B37">
        <v>51607</v>
      </c>
      <c r="C37" t="s">
        <v>234</v>
      </c>
      <c r="D37" t="s">
        <v>877</v>
      </c>
      <c r="E37" s="6">
        <v>3590253.88</v>
      </c>
      <c r="F37" s="6">
        <v>208059.48</v>
      </c>
      <c r="G37" s="7">
        <v>69057.679999999993</v>
      </c>
      <c r="H37" s="7">
        <v>1049672.56</v>
      </c>
      <c r="I37" s="6">
        <f t="shared" si="0"/>
        <v>3590816.9499999997</v>
      </c>
      <c r="J37" s="7">
        <f t="shared" si="2"/>
        <v>1991243.9899999995</v>
      </c>
      <c r="K37" s="7">
        <v>480842.72</v>
      </c>
      <c r="L37">
        <v>207496.41</v>
      </c>
      <c r="M37" s="7">
        <v>0</v>
      </c>
      <c r="N37" s="7">
        <f t="shared" si="1"/>
        <v>1118730.24</v>
      </c>
      <c r="O37" s="7">
        <f t="shared" si="3"/>
        <v>3798313.36</v>
      </c>
    </row>
    <row r="38" spans="1:15" x14ac:dyDescent="0.25">
      <c r="A38" t="s">
        <v>169</v>
      </c>
      <c r="B38">
        <v>51631</v>
      </c>
      <c r="C38" t="s">
        <v>235</v>
      </c>
      <c r="D38" t="s">
        <v>878</v>
      </c>
      <c r="E38" s="6">
        <v>7538012.9400000004</v>
      </c>
      <c r="F38" s="6">
        <v>155566.32999999999</v>
      </c>
      <c r="G38" s="7">
        <v>49975.53</v>
      </c>
      <c r="H38" s="7">
        <v>1950472.56</v>
      </c>
      <c r="I38" s="6">
        <f t="shared" si="0"/>
        <v>7494544.8000000007</v>
      </c>
      <c r="J38" s="7">
        <f t="shared" si="2"/>
        <v>3978672.0900000008</v>
      </c>
      <c r="K38" s="7">
        <v>1515424.62</v>
      </c>
      <c r="L38">
        <v>199034.47</v>
      </c>
      <c r="M38" s="7">
        <v>0</v>
      </c>
      <c r="N38" s="7">
        <f t="shared" si="1"/>
        <v>2000448.09</v>
      </c>
      <c r="O38" s="7">
        <f t="shared" si="3"/>
        <v>7693579.2700000005</v>
      </c>
    </row>
    <row r="39" spans="1:15" x14ac:dyDescent="0.25">
      <c r="A39" t="s">
        <v>171</v>
      </c>
      <c r="B39">
        <v>51656</v>
      </c>
      <c r="C39" t="s">
        <v>236</v>
      </c>
      <c r="D39" t="s">
        <v>879</v>
      </c>
      <c r="E39" s="6">
        <v>6899219.6600000001</v>
      </c>
      <c r="F39" s="6">
        <v>261378</v>
      </c>
      <c r="G39" s="7">
        <v>84329.8</v>
      </c>
      <c r="H39" s="7">
        <v>1852752.54</v>
      </c>
      <c r="I39" s="6">
        <f t="shared" si="0"/>
        <v>7073778.4400000004</v>
      </c>
      <c r="J39" s="7">
        <f t="shared" si="2"/>
        <v>3890235.2200000007</v>
      </c>
      <c r="K39" s="7">
        <v>1229623.29</v>
      </c>
      <c r="L39">
        <v>86819.22</v>
      </c>
      <c r="M39" s="7">
        <v>16837.59</v>
      </c>
      <c r="N39" s="7">
        <f t="shared" si="1"/>
        <v>1937082.34</v>
      </c>
      <c r="O39" s="7">
        <f t="shared" si="3"/>
        <v>7160597.6600000001</v>
      </c>
    </row>
    <row r="40" spans="1:15" x14ac:dyDescent="0.25">
      <c r="A40" t="s">
        <v>173</v>
      </c>
      <c r="B40">
        <v>51672</v>
      </c>
      <c r="C40" t="s">
        <v>237</v>
      </c>
      <c r="D40" t="s">
        <v>880</v>
      </c>
      <c r="E40" s="6">
        <v>3586758.75</v>
      </c>
      <c r="F40" s="6">
        <v>263103.28999999998</v>
      </c>
      <c r="G40" s="7">
        <v>88884.49</v>
      </c>
      <c r="H40" s="7">
        <v>843021.44</v>
      </c>
      <c r="I40" s="6">
        <f t="shared" si="0"/>
        <v>3827709.83</v>
      </c>
      <c r="J40" s="7">
        <f t="shared" si="2"/>
        <v>2402200.5099999998</v>
      </c>
      <c r="K40" s="7">
        <v>493603.39</v>
      </c>
      <c r="L40">
        <v>22152.21</v>
      </c>
      <c r="M40" s="7">
        <v>0</v>
      </c>
      <c r="N40" s="7">
        <f t="shared" si="1"/>
        <v>931905.92999999993</v>
      </c>
      <c r="O40" s="7">
        <f t="shared" si="3"/>
        <v>3849862.04</v>
      </c>
    </row>
    <row r="41" spans="1:15" x14ac:dyDescent="0.25">
      <c r="A41" t="s">
        <v>175</v>
      </c>
      <c r="B41">
        <v>51698</v>
      </c>
      <c r="C41" t="s">
        <v>238</v>
      </c>
      <c r="D41" t="s">
        <v>881</v>
      </c>
      <c r="E41" s="6">
        <v>3563060.6</v>
      </c>
      <c r="F41" s="6">
        <v>64665.2</v>
      </c>
      <c r="G41" s="7">
        <v>21742.6</v>
      </c>
      <c r="H41" s="7">
        <v>1024665.33</v>
      </c>
      <c r="I41" s="6">
        <f t="shared" si="0"/>
        <v>3524926.85</v>
      </c>
      <c r="J41" s="7">
        <f t="shared" si="2"/>
        <v>2086119.5000000002</v>
      </c>
      <c r="K41" s="7">
        <v>392399.42</v>
      </c>
      <c r="L41">
        <v>102798.95</v>
      </c>
      <c r="M41" s="7">
        <v>0</v>
      </c>
      <c r="N41" s="7">
        <f t="shared" si="1"/>
        <v>1046407.9299999999</v>
      </c>
      <c r="O41" s="7">
        <f t="shared" si="3"/>
        <v>3627725.8000000003</v>
      </c>
    </row>
    <row r="42" spans="1:15" x14ac:dyDescent="0.25">
      <c r="A42" t="s">
        <v>177</v>
      </c>
      <c r="B42">
        <v>51714</v>
      </c>
      <c r="C42" t="s">
        <v>239</v>
      </c>
      <c r="D42" t="s">
        <v>882</v>
      </c>
      <c r="E42" s="6">
        <v>5743834.3700000001</v>
      </c>
      <c r="F42" s="6">
        <v>295081.5</v>
      </c>
      <c r="G42" s="7">
        <v>97204.1</v>
      </c>
      <c r="H42" s="7">
        <v>1387588.43</v>
      </c>
      <c r="I42" s="6">
        <f t="shared" si="0"/>
        <v>5871785.8100000005</v>
      </c>
      <c r="J42" s="7">
        <f t="shared" si="2"/>
        <v>3454171.46</v>
      </c>
      <c r="K42" s="7">
        <v>932821.82</v>
      </c>
      <c r="L42">
        <v>167130.06</v>
      </c>
      <c r="M42" s="7">
        <v>0</v>
      </c>
      <c r="N42" s="7">
        <f t="shared" si="1"/>
        <v>1484792.53</v>
      </c>
      <c r="O42" s="7">
        <f t="shared" si="3"/>
        <v>6038915.8700000001</v>
      </c>
    </row>
    <row r="43" spans="1:15" x14ac:dyDescent="0.25">
      <c r="A43" t="s">
        <v>179</v>
      </c>
      <c r="B43">
        <v>62026</v>
      </c>
      <c r="C43" t="s">
        <v>240</v>
      </c>
      <c r="D43" t="s">
        <v>883</v>
      </c>
      <c r="E43" s="6">
        <v>3884187.93</v>
      </c>
      <c r="F43" s="6">
        <v>455204.38</v>
      </c>
      <c r="G43" s="7">
        <v>128860.18</v>
      </c>
      <c r="H43" s="7">
        <v>921086.18</v>
      </c>
      <c r="I43" s="6">
        <f t="shared" si="0"/>
        <v>4288627.040000001</v>
      </c>
      <c r="J43" s="7">
        <f t="shared" si="2"/>
        <v>2586887.6700000009</v>
      </c>
      <c r="K43" s="7">
        <v>651793.01</v>
      </c>
      <c r="L43">
        <v>50765.27</v>
      </c>
      <c r="M43" s="7">
        <v>0</v>
      </c>
      <c r="N43" s="7">
        <f t="shared" si="1"/>
        <v>1049946.3600000001</v>
      </c>
      <c r="O43" s="7">
        <f t="shared" si="3"/>
        <v>4339392.3100000005</v>
      </c>
    </row>
    <row r="44" spans="1:15" x14ac:dyDescent="0.25">
      <c r="A44" t="s">
        <v>181</v>
      </c>
      <c r="B44">
        <v>62042</v>
      </c>
      <c r="C44" t="s">
        <v>241</v>
      </c>
      <c r="D44" t="s">
        <v>884</v>
      </c>
      <c r="E44" s="6">
        <v>2626756.5699999998</v>
      </c>
      <c r="F44" s="6">
        <v>273212.3</v>
      </c>
      <c r="G44" s="7">
        <v>91468.5</v>
      </c>
      <c r="H44" s="7">
        <v>735077.27</v>
      </c>
      <c r="I44" s="6">
        <f t="shared" si="0"/>
        <v>2879462.51</v>
      </c>
      <c r="J44" s="7">
        <f t="shared" si="2"/>
        <v>1755236.4899999998</v>
      </c>
      <c r="K44" s="7">
        <v>297680.25</v>
      </c>
      <c r="L44">
        <v>20506.36</v>
      </c>
      <c r="M44" s="7">
        <v>0</v>
      </c>
      <c r="N44" s="7">
        <f t="shared" si="1"/>
        <v>826545.77</v>
      </c>
      <c r="O44" s="7">
        <f t="shared" si="3"/>
        <v>2899968.8699999996</v>
      </c>
    </row>
    <row r="45" spans="1:15" x14ac:dyDescent="0.25">
      <c r="A45" t="s">
        <v>183</v>
      </c>
      <c r="B45">
        <v>62067</v>
      </c>
      <c r="C45" t="s">
        <v>242</v>
      </c>
      <c r="D45" t="s">
        <v>885</v>
      </c>
      <c r="E45" s="6">
        <v>7126560.2000000002</v>
      </c>
      <c r="F45" s="6">
        <v>58456.84</v>
      </c>
      <c r="G45" s="7">
        <v>21975.64</v>
      </c>
      <c r="H45" s="7">
        <v>1913338.24</v>
      </c>
      <c r="I45" s="6">
        <f t="shared" si="0"/>
        <v>6448957.3200000003</v>
      </c>
      <c r="J45" s="7">
        <f t="shared" si="2"/>
        <v>3323617.3500000006</v>
      </c>
      <c r="K45" s="7">
        <v>1190026.0900000001</v>
      </c>
      <c r="L45">
        <v>736059.72</v>
      </c>
      <c r="M45" s="7">
        <v>0</v>
      </c>
      <c r="N45" s="7">
        <f t="shared" si="1"/>
        <v>1935313.88</v>
      </c>
      <c r="O45" s="7">
        <f t="shared" si="3"/>
        <v>7185017.04</v>
      </c>
    </row>
    <row r="46" spans="1:15" x14ac:dyDescent="0.25">
      <c r="A46" t="s">
        <v>185</v>
      </c>
      <c r="B46">
        <v>62109</v>
      </c>
      <c r="C46" t="s">
        <v>243</v>
      </c>
      <c r="D46" t="s">
        <v>886</v>
      </c>
      <c r="E46" s="6">
        <v>7125441.75</v>
      </c>
      <c r="F46" s="6">
        <v>164943.38</v>
      </c>
      <c r="G46" s="7">
        <v>49539.98</v>
      </c>
      <c r="H46" s="7">
        <v>2078801.64</v>
      </c>
      <c r="I46" s="6">
        <f t="shared" si="0"/>
        <v>7289826.8899999997</v>
      </c>
      <c r="J46" s="7">
        <f t="shared" si="2"/>
        <v>4455062.05</v>
      </c>
      <c r="K46" s="7">
        <v>705671.5</v>
      </c>
      <c r="L46">
        <v>558.24</v>
      </c>
      <c r="M46" s="7">
        <v>751.72</v>
      </c>
      <c r="N46" s="7">
        <f t="shared" si="1"/>
        <v>2128341.62</v>
      </c>
      <c r="O46" s="7">
        <f t="shared" si="3"/>
        <v>7290385.1299999999</v>
      </c>
    </row>
    <row r="47" spans="1:15" x14ac:dyDescent="0.25">
      <c r="A47" t="s">
        <v>187</v>
      </c>
      <c r="B47">
        <v>62125</v>
      </c>
      <c r="C47" t="s">
        <v>244</v>
      </c>
      <c r="D47" t="s">
        <v>887</v>
      </c>
      <c r="E47" s="6">
        <v>10013461.960000001</v>
      </c>
      <c r="F47" s="6">
        <v>739075.25</v>
      </c>
      <c r="G47" s="7">
        <v>251816.45</v>
      </c>
      <c r="H47" s="7">
        <v>3238139.61</v>
      </c>
      <c r="I47" s="6">
        <f t="shared" si="0"/>
        <v>10674881.090000002</v>
      </c>
      <c r="J47" s="7">
        <f t="shared" si="2"/>
        <v>5812828.4800000023</v>
      </c>
      <c r="K47" s="7">
        <v>1371228.94</v>
      </c>
      <c r="L47">
        <v>77656.12</v>
      </c>
      <c r="M47" s="7">
        <v>867.61</v>
      </c>
      <c r="N47" s="7">
        <f t="shared" si="1"/>
        <v>3489956.06</v>
      </c>
      <c r="O47" s="7">
        <f t="shared" si="3"/>
        <v>10752537.210000001</v>
      </c>
    </row>
    <row r="48" spans="1:15" x14ac:dyDescent="0.25">
      <c r="A48" t="s">
        <v>189</v>
      </c>
      <c r="B48">
        <v>62802</v>
      </c>
      <c r="C48" t="s">
        <v>245</v>
      </c>
      <c r="D48" t="s">
        <v>888</v>
      </c>
      <c r="E48" s="6">
        <v>2545953.7599999998</v>
      </c>
      <c r="F48" s="6">
        <v>398380.68</v>
      </c>
      <c r="G48" s="7">
        <v>127540.88</v>
      </c>
      <c r="H48" s="7">
        <v>713943.79</v>
      </c>
      <c r="I48" s="6">
        <f t="shared" si="0"/>
        <v>2883749.17</v>
      </c>
      <c r="J48" s="7">
        <f t="shared" si="2"/>
        <v>1765557.1800000002</v>
      </c>
      <c r="K48" s="7">
        <v>276707.32</v>
      </c>
      <c r="L48">
        <v>60585.27</v>
      </c>
      <c r="M48" s="7">
        <v>0</v>
      </c>
      <c r="N48" s="7">
        <f t="shared" si="1"/>
        <v>841484.67</v>
      </c>
      <c r="O48" s="7">
        <f t="shared" si="3"/>
        <v>2944334.44</v>
      </c>
    </row>
    <row r="49" spans="1:15" x14ac:dyDescent="0.25">
      <c r="A49" t="s">
        <v>191</v>
      </c>
      <c r="B49">
        <v>63495</v>
      </c>
      <c r="C49" t="s">
        <v>246</v>
      </c>
      <c r="D49" t="s">
        <v>889</v>
      </c>
      <c r="E49" s="6">
        <v>2130163.17</v>
      </c>
      <c r="F49" s="6">
        <v>552270.32999999996</v>
      </c>
      <c r="G49" s="7">
        <v>200160.53</v>
      </c>
      <c r="H49" s="7">
        <v>522508.24</v>
      </c>
      <c r="I49" s="6">
        <f t="shared" si="0"/>
        <v>2667881.17</v>
      </c>
      <c r="J49" s="7">
        <f t="shared" si="2"/>
        <v>1795847.67</v>
      </c>
      <c r="K49" s="7">
        <v>149364.73000000001</v>
      </c>
      <c r="L49">
        <v>14552.33</v>
      </c>
      <c r="M49" s="7">
        <v>0</v>
      </c>
      <c r="N49" s="7">
        <f t="shared" si="1"/>
        <v>722668.77</v>
      </c>
      <c r="O49" s="7">
        <f t="shared" si="3"/>
        <v>2682433.5</v>
      </c>
    </row>
    <row r="50" spans="1:15" x14ac:dyDescent="0.25">
      <c r="A50" t="s">
        <v>193</v>
      </c>
      <c r="B50">
        <v>63511</v>
      </c>
      <c r="C50" t="s">
        <v>247</v>
      </c>
      <c r="D50" t="s">
        <v>890</v>
      </c>
      <c r="E50" s="6">
        <v>1788468.91</v>
      </c>
      <c r="F50" s="6">
        <v>107129.43</v>
      </c>
      <c r="G50" s="7">
        <v>35431.230000000003</v>
      </c>
      <c r="H50" s="7">
        <v>265790.08000000002</v>
      </c>
      <c r="I50" s="6">
        <f t="shared" si="0"/>
        <v>1878091.4699999997</v>
      </c>
      <c r="J50" s="7">
        <f t="shared" si="2"/>
        <v>1446255.2899999996</v>
      </c>
      <c r="K50" s="7">
        <v>128738.52</v>
      </c>
      <c r="L50">
        <v>17506.87</v>
      </c>
      <c r="M50" s="7">
        <v>1876.35</v>
      </c>
      <c r="N50" s="7">
        <f t="shared" si="1"/>
        <v>301221.31</v>
      </c>
      <c r="O50" s="7">
        <f t="shared" si="3"/>
        <v>1895598.3399999999</v>
      </c>
    </row>
    <row r="51" spans="1:15" x14ac:dyDescent="0.25">
      <c r="A51" t="s">
        <v>195</v>
      </c>
      <c r="B51">
        <v>65227</v>
      </c>
      <c r="C51" t="s">
        <v>248</v>
      </c>
      <c r="D51" t="s">
        <v>891</v>
      </c>
      <c r="E51" s="6">
        <v>1837507.02</v>
      </c>
      <c r="F51" s="6">
        <v>17701.96</v>
      </c>
      <c r="G51" s="7">
        <v>7227.16</v>
      </c>
      <c r="H51" s="7">
        <v>423298.6</v>
      </c>
      <c r="I51" s="6">
        <f t="shared" si="0"/>
        <v>1789956.42</v>
      </c>
      <c r="J51" s="7">
        <f t="shared" si="2"/>
        <v>1140370.75</v>
      </c>
      <c r="K51" s="7">
        <v>219059.91</v>
      </c>
      <c r="L51">
        <v>65252.56</v>
      </c>
      <c r="M51" s="7">
        <v>0</v>
      </c>
      <c r="N51" s="7">
        <f t="shared" si="1"/>
        <v>430525.75999999995</v>
      </c>
      <c r="O51" s="7">
        <f t="shared" si="3"/>
        <v>1855208.98</v>
      </c>
    </row>
    <row r="52" spans="1:15" x14ac:dyDescent="0.25">
      <c r="A52" t="s">
        <v>197</v>
      </c>
      <c r="B52">
        <v>65268</v>
      </c>
      <c r="C52" t="s">
        <v>249</v>
      </c>
      <c r="D52" t="s">
        <v>892</v>
      </c>
      <c r="E52" s="6">
        <v>5720216.25</v>
      </c>
      <c r="F52" s="6">
        <v>63193.66</v>
      </c>
      <c r="G52" s="7">
        <v>24485.06</v>
      </c>
      <c r="H52" s="7">
        <v>1127483.8999999999</v>
      </c>
      <c r="I52" s="6">
        <f t="shared" si="0"/>
        <v>5706800.96</v>
      </c>
      <c r="J52" s="7">
        <f t="shared" si="2"/>
        <v>4208864.24</v>
      </c>
      <c r="K52" s="7">
        <v>345967.76</v>
      </c>
      <c r="L52">
        <v>76608.95</v>
      </c>
      <c r="M52" s="7">
        <v>0</v>
      </c>
      <c r="N52" s="7">
        <f t="shared" si="1"/>
        <v>1151968.96</v>
      </c>
      <c r="O52" s="7">
        <f t="shared" si="3"/>
        <v>5783409.9100000001</v>
      </c>
    </row>
    <row r="53" spans="1:15" x14ac:dyDescent="0.25">
      <c r="G53" s="7"/>
      <c r="H53" s="7"/>
      <c r="J53" s="7"/>
      <c r="K53" s="7"/>
      <c r="M53" s="7"/>
      <c r="N53" s="7"/>
    </row>
    <row r="54" spans="1:15" x14ac:dyDescent="0.25">
      <c r="E54" s="6">
        <f>SUM(E4:E52)</f>
        <v>307319875.71000004</v>
      </c>
      <c r="F54" s="6">
        <f>SUM(F4:F52)</f>
        <v>16258622.650000002</v>
      </c>
      <c r="G54" s="6">
        <v>5465545.2499999991</v>
      </c>
      <c r="H54" s="6">
        <f t="shared" ref="H54:O54" si="4">SUM(H4:H52)</f>
        <v>87115912.800000012</v>
      </c>
      <c r="I54" s="6">
        <f t="shared" si="4"/>
        <v>317299876.55000001</v>
      </c>
      <c r="J54" s="6">
        <f t="shared" si="4"/>
        <v>187411384.16999999</v>
      </c>
      <c r="K54" s="6">
        <f t="shared" si="4"/>
        <v>37198419.509999998</v>
      </c>
      <c r="L54" s="6">
        <f t="shared" si="4"/>
        <v>6278621.8099999987</v>
      </c>
      <c r="M54" s="6">
        <f t="shared" si="4"/>
        <v>108614.82</v>
      </c>
      <c r="N54" s="6">
        <f t="shared" si="4"/>
        <v>92581458.050000012</v>
      </c>
      <c r="O54" s="6">
        <f t="shared" si="4"/>
        <v>323578498.36000001</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48021-039C-4721-915C-88659DE35AA3}">
  <dimension ref="A1:H50"/>
  <sheetViews>
    <sheetView workbookViewId="0">
      <selection activeCell="E22" sqref="E22"/>
    </sheetView>
  </sheetViews>
  <sheetFormatPr defaultColWidth="11.42578125" defaultRowHeight="15" x14ac:dyDescent="0.25"/>
  <cols>
    <col min="1" max="1" width="7.7109375" style="77" customWidth="1"/>
    <col min="2" max="2" width="50.7109375" style="77" customWidth="1"/>
    <col min="3" max="3" width="10.7109375" style="77" customWidth="1"/>
    <col min="4" max="4" width="23.7109375" style="77" customWidth="1"/>
    <col min="5" max="5" width="44.7109375" style="77" customWidth="1"/>
    <col min="6" max="8" width="28.7109375" style="77" customWidth="1"/>
    <col min="9" max="16384" width="11.42578125" style="77"/>
  </cols>
  <sheetData>
    <row r="1" spans="1:8" x14ac:dyDescent="0.25">
      <c r="A1" s="76" t="s">
        <v>893</v>
      </c>
      <c r="B1" s="76" t="s">
        <v>894</v>
      </c>
      <c r="C1" s="76" t="s">
        <v>895</v>
      </c>
      <c r="D1" s="76" t="s">
        <v>896</v>
      </c>
      <c r="E1" s="76" t="s">
        <v>897</v>
      </c>
      <c r="F1" s="76" t="s">
        <v>898</v>
      </c>
      <c r="G1" s="76" t="s">
        <v>899</v>
      </c>
      <c r="H1" s="76" t="s">
        <v>900</v>
      </c>
    </row>
    <row r="2" spans="1:8" x14ac:dyDescent="0.25">
      <c r="A2" s="77" t="s">
        <v>101</v>
      </c>
      <c r="B2" s="77" t="s">
        <v>102</v>
      </c>
      <c r="C2" s="77" t="s">
        <v>202</v>
      </c>
      <c r="D2" s="77">
        <v>4928.46</v>
      </c>
      <c r="E2" s="77">
        <v>-71908.990000000005</v>
      </c>
      <c r="F2" s="77">
        <v>-66980.53</v>
      </c>
      <c r="G2" s="77">
        <v>7349.22</v>
      </c>
      <c r="H2" s="77">
        <v>8891.0300000000007</v>
      </c>
    </row>
    <row r="3" spans="1:8" x14ac:dyDescent="0.25">
      <c r="A3" s="77" t="s">
        <v>103</v>
      </c>
      <c r="B3" s="77" t="s">
        <v>104</v>
      </c>
      <c r="C3" s="77" t="s">
        <v>203</v>
      </c>
      <c r="D3" s="77">
        <v>0</v>
      </c>
      <c r="E3" s="77">
        <v>-40675.29</v>
      </c>
      <c r="F3" s="77">
        <v>-40675.29</v>
      </c>
      <c r="G3" s="77">
        <v>7349.22</v>
      </c>
      <c r="H3" s="77">
        <v>8891.0300000000007</v>
      </c>
    </row>
    <row r="4" spans="1:8" x14ac:dyDescent="0.25">
      <c r="A4" s="77" t="s">
        <v>105</v>
      </c>
      <c r="B4" s="77" t="s">
        <v>106</v>
      </c>
      <c r="C4" s="77" t="s">
        <v>204</v>
      </c>
      <c r="D4" s="77">
        <v>0</v>
      </c>
      <c r="E4" s="77">
        <v>-86715.56</v>
      </c>
      <c r="F4" s="77">
        <v>-86715.56</v>
      </c>
      <c r="G4" s="77">
        <v>7349.22</v>
      </c>
      <c r="H4" s="77">
        <v>8891.0300000000007</v>
      </c>
    </row>
    <row r="5" spans="1:8" x14ac:dyDescent="0.25">
      <c r="A5" s="77" t="s">
        <v>107</v>
      </c>
      <c r="B5" s="77" t="s">
        <v>108</v>
      </c>
      <c r="C5" s="77" t="s">
        <v>205</v>
      </c>
      <c r="D5" s="77">
        <v>0</v>
      </c>
      <c r="E5" s="77">
        <v>-54076.97</v>
      </c>
      <c r="F5" s="77">
        <v>-54076.97</v>
      </c>
      <c r="G5" s="77">
        <v>7349.22</v>
      </c>
      <c r="H5" s="77">
        <v>8891.0300000000007</v>
      </c>
    </row>
    <row r="6" spans="1:8" x14ac:dyDescent="0.25">
      <c r="A6" s="77" t="s">
        <v>109</v>
      </c>
      <c r="B6" s="77" t="s">
        <v>110</v>
      </c>
      <c r="C6" s="77" t="s">
        <v>206</v>
      </c>
      <c r="D6" s="77">
        <v>0</v>
      </c>
      <c r="E6" s="77">
        <v>-271694.76</v>
      </c>
      <c r="F6" s="77">
        <v>-271694.76</v>
      </c>
      <c r="G6" s="77">
        <v>7349.22</v>
      </c>
      <c r="H6" s="77">
        <v>8891.0300000000007</v>
      </c>
    </row>
    <row r="7" spans="1:8" x14ac:dyDescent="0.25">
      <c r="A7" s="77" t="s">
        <v>111</v>
      </c>
      <c r="B7" s="77" t="s">
        <v>112</v>
      </c>
      <c r="C7" s="77" t="s">
        <v>207</v>
      </c>
      <c r="D7" s="77">
        <v>0</v>
      </c>
      <c r="E7" s="77">
        <v>-26780.62</v>
      </c>
      <c r="F7" s="77">
        <v>-26780.62</v>
      </c>
      <c r="G7" s="77">
        <v>7349.22</v>
      </c>
      <c r="H7" s="77">
        <v>8891.0300000000007</v>
      </c>
    </row>
    <row r="8" spans="1:8" x14ac:dyDescent="0.25">
      <c r="A8" s="77" t="s">
        <v>113</v>
      </c>
      <c r="B8" s="77" t="s">
        <v>114</v>
      </c>
      <c r="C8" s="77" t="s">
        <v>208</v>
      </c>
      <c r="D8" s="77">
        <v>0</v>
      </c>
      <c r="E8" s="77">
        <v>-6133.35</v>
      </c>
      <c r="F8" s="77">
        <v>-6133.35</v>
      </c>
      <c r="G8" s="77">
        <v>7349.22</v>
      </c>
      <c r="H8" s="77">
        <v>8891.0300000000007</v>
      </c>
    </row>
    <row r="9" spans="1:8" x14ac:dyDescent="0.25">
      <c r="A9" s="77" t="s">
        <v>115</v>
      </c>
      <c r="B9" s="77" t="s">
        <v>116</v>
      </c>
      <c r="C9" s="77" t="s">
        <v>208</v>
      </c>
      <c r="D9" s="77">
        <v>0</v>
      </c>
      <c r="E9" s="77">
        <v>-31899.91</v>
      </c>
      <c r="F9" s="77">
        <v>-31899.91</v>
      </c>
      <c r="G9" s="77">
        <v>7349.22</v>
      </c>
      <c r="H9" s="77">
        <v>8891.0300000000007</v>
      </c>
    </row>
    <row r="10" spans="1:8" x14ac:dyDescent="0.25">
      <c r="A10" s="77" t="s">
        <v>117</v>
      </c>
      <c r="B10" s="77" t="s">
        <v>118</v>
      </c>
      <c r="C10" s="77" t="s">
        <v>209</v>
      </c>
      <c r="D10" s="77">
        <v>0</v>
      </c>
      <c r="E10" s="77">
        <v>-122153.03</v>
      </c>
      <c r="F10" s="77">
        <v>-122153.03</v>
      </c>
      <c r="G10" s="77">
        <v>7349.22</v>
      </c>
      <c r="H10" s="77">
        <v>8891.0300000000007</v>
      </c>
    </row>
    <row r="11" spans="1:8" x14ac:dyDescent="0.25">
      <c r="A11" s="77" t="s">
        <v>119</v>
      </c>
      <c r="B11" s="77" t="s">
        <v>120</v>
      </c>
      <c r="C11" s="77" t="s">
        <v>210</v>
      </c>
      <c r="D11" s="77">
        <v>1517584.35</v>
      </c>
      <c r="E11" s="77">
        <v>-15060.65</v>
      </c>
      <c r="F11" s="77">
        <v>1502523.7</v>
      </c>
      <c r="G11" s="77">
        <v>7349.22</v>
      </c>
      <c r="H11" s="77">
        <v>8891.0300000000007</v>
      </c>
    </row>
    <row r="12" spans="1:8" x14ac:dyDescent="0.25">
      <c r="A12" s="77" t="s">
        <v>121</v>
      </c>
      <c r="B12" s="77" t="s">
        <v>122</v>
      </c>
      <c r="C12" s="77" t="s">
        <v>211</v>
      </c>
      <c r="D12" s="77">
        <v>105844.02</v>
      </c>
      <c r="E12" s="77">
        <v>-54468.69</v>
      </c>
      <c r="F12" s="77">
        <v>51375.33</v>
      </c>
      <c r="G12" s="77">
        <v>7349.22</v>
      </c>
      <c r="H12" s="77">
        <v>8891.0300000000007</v>
      </c>
    </row>
    <row r="13" spans="1:8" x14ac:dyDescent="0.25">
      <c r="A13" s="77" t="s">
        <v>123</v>
      </c>
      <c r="B13" s="77" t="s">
        <v>124</v>
      </c>
      <c r="C13" s="77" t="s">
        <v>212</v>
      </c>
      <c r="D13" s="77">
        <v>0</v>
      </c>
      <c r="E13" s="77">
        <v>-72466.66</v>
      </c>
      <c r="F13" s="77">
        <v>-72466.66</v>
      </c>
      <c r="G13" s="77">
        <v>7349.22</v>
      </c>
      <c r="H13" s="77">
        <v>8891.0300000000007</v>
      </c>
    </row>
    <row r="14" spans="1:8" x14ac:dyDescent="0.25">
      <c r="A14" s="77" t="s">
        <v>125</v>
      </c>
      <c r="B14" s="77" t="s">
        <v>126</v>
      </c>
      <c r="C14" s="77" t="s">
        <v>213</v>
      </c>
      <c r="D14" s="77">
        <v>35583.26</v>
      </c>
      <c r="E14" s="77">
        <v>-115287.03999999999</v>
      </c>
      <c r="F14" s="77">
        <v>-79703.78</v>
      </c>
      <c r="G14" s="77">
        <v>7349.22</v>
      </c>
      <c r="H14" s="77">
        <v>8891.0300000000007</v>
      </c>
    </row>
    <row r="15" spans="1:8" x14ac:dyDescent="0.25">
      <c r="A15" s="77" t="s">
        <v>127</v>
      </c>
      <c r="B15" s="77" t="s">
        <v>128</v>
      </c>
      <c r="C15" s="77" t="s">
        <v>214</v>
      </c>
      <c r="D15" s="77">
        <v>0</v>
      </c>
      <c r="E15" s="77">
        <v>-233410.39</v>
      </c>
      <c r="F15" s="77">
        <v>-233410.39</v>
      </c>
      <c r="G15" s="77">
        <v>7349.22</v>
      </c>
      <c r="H15" s="77">
        <v>8891.0300000000007</v>
      </c>
    </row>
    <row r="16" spans="1:8" x14ac:dyDescent="0.25">
      <c r="A16" s="77" t="s">
        <v>129</v>
      </c>
      <c r="B16" s="77" t="s">
        <v>130</v>
      </c>
      <c r="C16" s="77" t="s">
        <v>215</v>
      </c>
      <c r="D16" s="77">
        <v>0</v>
      </c>
      <c r="E16" s="77">
        <v>-37657.94</v>
      </c>
      <c r="F16" s="77">
        <v>-37657.94</v>
      </c>
      <c r="G16" s="77">
        <v>7349.22</v>
      </c>
      <c r="H16" s="77">
        <v>8891.0300000000007</v>
      </c>
    </row>
    <row r="17" spans="1:8" x14ac:dyDescent="0.25">
      <c r="A17" s="77" t="s">
        <v>131</v>
      </c>
      <c r="B17" s="77" t="s">
        <v>132</v>
      </c>
      <c r="C17" s="77" t="s">
        <v>216</v>
      </c>
      <c r="D17" s="77">
        <v>0</v>
      </c>
      <c r="E17" s="77">
        <v>-61403.5</v>
      </c>
      <c r="F17" s="77">
        <v>-61403.5</v>
      </c>
      <c r="G17" s="77">
        <v>7349.22</v>
      </c>
      <c r="H17" s="77">
        <v>8891.0300000000007</v>
      </c>
    </row>
    <row r="18" spans="1:8" x14ac:dyDescent="0.25">
      <c r="A18" s="77" t="s">
        <v>133</v>
      </c>
      <c r="B18" s="77" t="s">
        <v>134</v>
      </c>
      <c r="C18" s="77" t="s">
        <v>217</v>
      </c>
      <c r="D18" s="77">
        <v>87480.88</v>
      </c>
      <c r="E18" s="77">
        <v>-3705.68</v>
      </c>
      <c r="F18" s="77">
        <v>83775.199999999997</v>
      </c>
      <c r="G18" s="77">
        <v>7349.22</v>
      </c>
      <c r="H18" s="77">
        <v>8891.0300000000007</v>
      </c>
    </row>
    <row r="19" spans="1:8" x14ac:dyDescent="0.25">
      <c r="A19" s="77" t="s">
        <v>135</v>
      </c>
      <c r="B19" s="77" t="s">
        <v>136</v>
      </c>
      <c r="C19" s="77" t="s">
        <v>218</v>
      </c>
      <c r="D19" s="77">
        <v>0</v>
      </c>
      <c r="E19" s="77">
        <v>-77987.789999999994</v>
      </c>
      <c r="F19" s="77">
        <v>-77987.789999999994</v>
      </c>
      <c r="G19" s="77">
        <v>7349.22</v>
      </c>
      <c r="H19" s="77">
        <v>8891.0300000000007</v>
      </c>
    </row>
    <row r="20" spans="1:8" x14ac:dyDescent="0.25">
      <c r="A20" s="77" t="s">
        <v>137</v>
      </c>
      <c r="B20" s="77" t="s">
        <v>138</v>
      </c>
      <c r="C20" s="77" t="s">
        <v>219</v>
      </c>
      <c r="D20" s="77">
        <v>0</v>
      </c>
      <c r="E20" s="77">
        <v>-42751.68</v>
      </c>
      <c r="F20" s="77">
        <v>-42751.68</v>
      </c>
      <c r="G20" s="77">
        <v>7349.22</v>
      </c>
      <c r="H20" s="77">
        <v>8891.0300000000007</v>
      </c>
    </row>
    <row r="21" spans="1:8" x14ac:dyDescent="0.25">
      <c r="A21" s="77" t="s">
        <v>139</v>
      </c>
      <c r="B21" s="77" t="s">
        <v>140</v>
      </c>
      <c r="C21" s="77" t="s">
        <v>220</v>
      </c>
      <c r="D21" s="77">
        <v>0</v>
      </c>
      <c r="E21" s="77">
        <v>-94591.67</v>
      </c>
      <c r="F21" s="77">
        <v>-94591.67</v>
      </c>
      <c r="G21" s="77">
        <v>7349.22</v>
      </c>
      <c r="H21" s="77">
        <v>8891.0300000000007</v>
      </c>
    </row>
    <row r="22" spans="1:8" x14ac:dyDescent="0.25">
      <c r="A22" s="77" t="s">
        <v>141</v>
      </c>
      <c r="B22" s="77" t="s">
        <v>142</v>
      </c>
      <c r="C22" s="77" t="s">
        <v>221</v>
      </c>
      <c r="D22" s="77">
        <v>0</v>
      </c>
      <c r="E22" s="77">
        <v>-69588.12</v>
      </c>
      <c r="F22" s="77">
        <v>-69588.12</v>
      </c>
      <c r="G22" s="77">
        <v>7349.22</v>
      </c>
      <c r="H22" s="77">
        <v>8891.0300000000007</v>
      </c>
    </row>
    <row r="23" spans="1:8" x14ac:dyDescent="0.25">
      <c r="A23" s="77" t="s">
        <v>143</v>
      </c>
      <c r="B23" s="77" t="s">
        <v>144</v>
      </c>
      <c r="C23" s="77" t="s">
        <v>222</v>
      </c>
      <c r="D23" s="77">
        <v>0</v>
      </c>
      <c r="E23" s="77">
        <v>-133782.79</v>
      </c>
      <c r="F23" s="77">
        <v>-133782.79</v>
      </c>
      <c r="G23" s="77">
        <v>7349.22</v>
      </c>
      <c r="H23" s="77">
        <v>8891.0300000000007</v>
      </c>
    </row>
    <row r="24" spans="1:8" x14ac:dyDescent="0.25">
      <c r="A24" s="77" t="s">
        <v>145</v>
      </c>
      <c r="B24" s="77" t="s">
        <v>146</v>
      </c>
      <c r="C24" s="77" t="s">
        <v>223</v>
      </c>
      <c r="D24" s="77">
        <v>22956.1</v>
      </c>
      <c r="E24" s="77">
        <v>-107858.77</v>
      </c>
      <c r="F24" s="77">
        <v>-84902.67</v>
      </c>
      <c r="G24" s="77">
        <v>7349.22</v>
      </c>
      <c r="H24" s="77">
        <v>8891.0300000000007</v>
      </c>
    </row>
    <row r="25" spans="1:8" x14ac:dyDescent="0.25">
      <c r="A25" s="77" t="s">
        <v>147</v>
      </c>
      <c r="B25" s="77" t="s">
        <v>148</v>
      </c>
      <c r="C25" s="77" t="s">
        <v>224</v>
      </c>
      <c r="D25" s="77">
        <v>0</v>
      </c>
      <c r="E25" s="77">
        <v>-74651.69</v>
      </c>
      <c r="F25" s="77">
        <v>-74651.69</v>
      </c>
      <c r="G25" s="77">
        <v>7349.22</v>
      </c>
      <c r="H25" s="77">
        <v>8891.0300000000007</v>
      </c>
    </row>
    <row r="26" spans="1:8" x14ac:dyDescent="0.25">
      <c r="A26" s="77" t="s">
        <v>149</v>
      </c>
      <c r="B26" s="77" t="s">
        <v>150</v>
      </c>
      <c r="C26" s="77" t="s">
        <v>225</v>
      </c>
      <c r="D26" s="77">
        <v>0</v>
      </c>
      <c r="E26" s="77">
        <v>-239549.98</v>
      </c>
      <c r="F26" s="77">
        <v>-239549.98</v>
      </c>
      <c r="G26" s="77">
        <v>7349.22</v>
      </c>
      <c r="H26" s="77">
        <v>8891.0300000000007</v>
      </c>
    </row>
    <row r="27" spans="1:8" x14ac:dyDescent="0.25">
      <c r="A27" s="77" t="s">
        <v>151</v>
      </c>
      <c r="B27" s="77" t="s">
        <v>152</v>
      </c>
      <c r="C27" s="77" t="s">
        <v>226</v>
      </c>
      <c r="D27" s="77">
        <v>0</v>
      </c>
      <c r="E27" s="77">
        <v>-76349.070000000007</v>
      </c>
      <c r="F27" s="77">
        <v>-76349.070000000007</v>
      </c>
      <c r="G27" s="77">
        <v>7349.22</v>
      </c>
      <c r="H27" s="77">
        <v>8891.0300000000007</v>
      </c>
    </row>
    <row r="28" spans="1:8" x14ac:dyDescent="0.25">
      <c r="A28" s="77" t="s">
        <v>153</v>
      </c>
      <c r="B28" s="77" t="s">
        <v>154</v>
      </c>
      <c r="C28" s="77" t="s">
        <v>227</v>
      </c>
      <c r="D28" s="77">
        <v>0</v>
      </c>
      <c r="E28" s="77">
        <v>-73375.070000000007</v>
      </c>
      <c r="F28" s="77">
        <v>-73375.070000000007</v>
      </c>
      <c r="G28" s="77">
        <v>7349.22</v>
      </c>
      <c r="H28" s="77">
        <v>8891.0300000000007</v>
      </c>
    </row>
    <row r="29" spans="1:8" x14ac:dyDescent="0.25">
      <c r="A29" s="77" t="s">
        <v>155</v>
      </c>
      <c r="B29" s="77" t="s">
        <v>156</v>
      </c>
      <c r="C29" s="77" t="s">
        <v>228</v>
      </c>
      <c r="D29" s="77">
        <v>0</v>
      </c>
      <c r="E29" s="77">
        <v>-132426.18</v>
      </c>
      <c r="F29" s="77">
        <v>-132426.18</v>
      </c>
      <c r="G29" s="77">
        <v>7349.22</v>
      </c>
      <c r="H29" s="77">
        <v>8891.0300000000007</v>
      </c>
    </row>
    <row r="30" spans="1:8" x14ac:dyDescent="0.25">
      <c r="A30" s="77" t="s">
        <v>157</v>
      </c>
      <c r="B30" s="77" t="s">
        <v>158</v>
      </c>
      <c r="C30" s="77" t="s">
        <v>229</v>
      </c>
      <c r="D30" s="77">
        <v>16976.36</v>
      </c>
      <c r="E30" s="77">
        <v>-130518.48</v>
      </c>
      <c r="F30" s="77">
        <v>-113542.12</v>
      </c>
      <c r="G30" s="77">
        <v>7349.22</v>
      </c>
      <c r="H30" s="77">
        <v>8891.0300000000007</v>
      </c>
    </row>
    <row r="31" spans="1:8" x14ac:dyDescent="0.25">
      <c r="A31" s="77" t="s">
        <v>159</v>
      </c>
      <c r="B31" s="77" t="s">
        <v>160</v>
      </c>
      <c r="C31" s="77" t="s">
        <v>230</v>
      </c>
      <c r="D31" s="77">
        <v>0</v>
      </c>
      <c r="E31" s="77">
        <v>-50564.08</v>
      </c>
      <c r="F31" s="77">
        <v>-50564.08</v>
      </c>
      <c r="G31" s="77">
        <v>7349.22</v>
      </c>
      <c r="H31" s="77">
        <v>8891.0300000000007</v>
      </c>
    </row>
    <row r="32" spans="1:8" x14ac:dyDescent="0.25">
      <c r="A32" s="77" t="s">
        <v>161</v>
      </c>
      <c r="B32" s="77" t="s">
        <v>162</v>
      </c>
      <c r="C32" s="77" t="s">
        <v>231</v>
      </c>
      <c r="D32" s="77">
        <v>77.83</v>
      </c>
      <c r="E32" s="77">
        <v>-92925.62</v>
      </c>
      <c r="F32" s="77">
        <v>-92847.79</v>
      </c>
      <c r="G32" s="77">
        <v>7349.22</v>
      </c>
      <c r="H32" s="77">
        <v>8891.0300000000007</v>
      </c>
    </row>
    <row r="33" spans="1:8" x14ac:dyDescent="0.25">
      <c r="A33" s="77" t="s">
        <v>163</v>
      </c>
      <c r="B33" s="77" t="s">
        <v>164</v>
      </c>
      <c r="C33" s="77" t="s">
        <v>232</v>
      </c>
      <c r="D33" s="77">
        <v>17031.84</v>
      </c>
      <c r="E33" s="77">
        <v>-70231.73</v>
      </c>
      <c r="F33" s="77">
        <v>-53199.89</v>
      </c>
      <c r="G33" s="77">
        <v>7349.22</v>
      </c>
      <c r="H33" s="77">
        <v>8891.0300000000007</v>
      </c>
    </row>
    <row r="34" spans="1:8" x14ac:dyDescent="0.25">
      <c r="A34" s="77" t="s">
        <v>165</v>
      </c>
      <c r="B34" s="77" t="s">
        <v>166</v>
      </c>
      <c r="C34" s="77" t="s">
        <v>233</v>
      </c>
      <c r="D34" s="77">
        <v>0</v>
      </c>
      <c r="E34" s="77">
        <v>-68595.59</v>
      </c>
      <c r="F34" s="77">
        <v>-68595.59</v>
      </c>
      <c r="G34" s="77">
        <v>7349.22</v>
      </c>
      <c r="H34" s="77">
        <v>8891.0300000000007</v>
      </c>
    </row>
    <row r="35" spans="1:8" x14ac:dyDescent="0.25">
      <c r="A35" s="77" t="s">
        <v>167</v>
      </c>
      <c r="B35" s="77" t="s">
        <v>168</v>
      </c>
      <c r="C35" s="77" t="s">
        <v>234</v>
      </c>
      <c r="D35" s="77">
        <v>0</v>
      </c>
      <c r="E35" s="77">
        <v>-53178.22</v>
      </c>
      <c r="F35" s="77">
        <v>-53178.22</v>
      </c>
      <c r="G35" s="77">
        <v>7349.22</v>
      </c>
      <c r="H35" s="77">
        <v>8891.0300000000007</v>
      </c>
    </row>
    <row r="36" spans="1:8" x14ac:dyDescent="0.25">
      <c r="A36" s="77" t="s">
        <v>169</v>
      </c>
      <c r="B36" s="77" t="s">
        <v>170</v>
      </c>
      <c r="C36" s="77" t="s">
        <v>235</v>
      </c>
      <c r="D36" s="77">
        <v>18365.400000000001</v>
      </c>
      <c r="E36" s="77">
        <v>-151806.73000000001</v>
      </c>
      <c r="F36" s="77">
        <v>-133441.32999999999</v>
      </c>
      <c r="G36" s="77">
        <v>7349.22</v>
      </c>
      <c r="H36" s="77">
        <v>8891.0300000000007</v>
      </c>
    </row>
    <row r="37" spans="1:8" x14ac:dyDescent="0.25">
      <c r="A37" s="77" t="s">
        <v>171</v>
      </c>
      <c r="B37" s="77" t="s">
        <v>172</v>
      </c>
      <c r="C37" s="77" t="s">
        <v>236</v>
      </c>
      <c r="D37" s="77">
        <v>0</v>
      </c>
      <c r="E37" s="77">
        <v>-123401.49</v>
      </c>
      <c r="F37" s="77">
        <v>-123401.49</v>
      </c>
      <c r="G37" s="77">
        <v>7349.22</v>
      </c>
      <c r="H37" s="77">
        <v>8891.0300000000007</v>
      </c>
    </row>
    <row r="38" spans="1:8" x14ac:dyDescent="0.25">
      <c r="A38" s="77" t="s">
        <v>173</v>
      </c>
      <c r="B38" s="77" t="s">
        <v>174</v>
      </c>
      <c r="C38" s="77" t="s">
        <v>237</v>
      </c>
      <c r="D38" s="77">
        <v>0</v>
      </c>
      <c r="E38" s="77">
        <v>-50423.96</v>
      </c>
      <c r="F38" s="77">
        <v>-50423.96</v>
      </c>
      <c r="G38" s="77">
        <v>7349.22</v>
      </c>
      <c r="H38" s="77">
        <v>8891.0300000000007</v>
      </c>
    </row>
    <row r="39" spans="1:8" x14ac:dyDescent="0.25">
      <c r="A39" s="77" t="s">
        <v>175</v>
      </c>
      <c r="B39" s="77" t="s">
        <v>901</v>
      </c>
      <c r="C39" s="77" t="s">
        <v>238</v>
      </c>
      <c r="D39" s="77">
        <v>0</v>
      </c>
      <c r="E39" s="77">
        <v>-41124.31</v>
      </c>
      <c r="F39" s="77">
        <v>-41124.31</v>
      </c>
      <c r="G39" s="77">
        <v>7349.22</v>
      </c>
      <c r="H39" s="77">
        <v>8891.0300000000007</v>
      </c>
    </row>
    <row r="40" spans="1:8" x14ac:dyDescent="0.25">
      <c r="A40" s="77" t="s">
        <v>177</v>
      </c>
      <c r="B40" s="77" t="s">
        <v>178</v>
      </c>
      <c r="C40" s="77" t="s">
        <v>239</v>
      </c>
      <c r="D40" s="77">
        <v>0</v>
      </c>
      <c r="E40" s="77">
        <v>-93585.09</v>
      </c>
      <c r="F40" s="77">
        <v>-93585.09</v>
      </c>
      <c r="G40" s="77">
        <v>7349.22</v>
      </c>
      <c r="H40" s="77">
        <v>8891.0300000000007</v>
      </c>
    </row>
    <row r="41" spans="1:8" x14ac:dyDescent="0.25">
      <c r="A41" s="77" t="s">
        <v>179</v>
      </c>
      <c r="B41" s="77" t="s">
        <v>180</v>
      </c>
      <c r="C41" s="77" t="s">
        <v>240</v>
      </c>
      <c r="D41" s="77">
        <v>465787.31</v>
      </c>
      <c r="E41" s="77">
        <v>-66821.509999999995</v>
      </c>
      <c r="F41" s="77">
        <v>398965.8</v>
      </c>
      <c r="G41" s="77">
        <v>7349.22</v>
      </c>
      <c r="H41" s="77">
        <v>8891.0300000000007</v>
      </c>
    </row>
    <row r="42" spans="1:8" x14ac:dyDescent="0.25">
      <c r="A42" s="77" t="s">
        <v>181</v>
      </c>
      <c r="B42" s="77" t="s">
        <v>902</v>
      </c>
      <c r="C42" s="77" t="s">
        <v>241</v>
      </c>
      <c r="D42" s="77">
        <v>0</v>
      </c>
      <c r="E42" s="77">
        <v>-32891.919999999998</v>
      </c>
      <c r="F42" s="77">
        <v>-32891.919999999998</v>
      </c>
      <c r="G42" s="77">
        <v>7349.22</v>
      </c>
      <c r="H42" s="77">
        <v>8891.0300000000007</v>
      </c>
    </row>
    <row r="43" spans="1:8" x14ac:dyDescent="0.25">
      <c r="A43" s="77" t="s">
        <v>183</v>
      </c>
      <c r="B43" s="77" t="s">
        <v>184</v>
      </c>
      <c r="C43" s="77" t="s">
        <v>242</v>
      </c>
      <c r="D43" s="77">
        <v>0</v>
      </c>
      <c r="E43" s="77">
        <v>-118003.17</v>
      </c>
      <c r="F43" s="77">
        <v>-118003.17</v>
      </c>
      <c r="G43" s="77">
        <v>7349.22</v>
      </c>
      <c r="H43" s="77">
        <v>8891.0300000000007</v>
      </c>
    </row>
    <row r="44" spans="1:8" x14ac:dyDescent="0.25">
      <c r="A44" s="77" t="s">
        <v>185</v>
      </c>
      <c r="B44" s="77" t="s">
        <v>186</v>
      </c>
      <c r="C44" s="77" t="s">
        <v>243</v>
      </c>
      <c r="D44" s="77">
        <v>0</v>
      </c>
      <c r="E44" s="77">
        <v>-69229.94</v>
      </c>
      <c r="F44" s="77">
        <v>-69229.94</v>
      </c>
      <c r="G44" s="77">
        <v>7349.22</v>
      </c>
      <c r="H44" s="77">
        <v>8891.0300000000007</v>
      </c>
    </row>
    <row r="45" spans="1:8" x14ac:dyDescent="0.25">
      <c r="A45" s="77" t="s">
        <v>187</v>
      </c>
      <c r="B45" s="77" t="s">
        <v>188</v>
      </c>
      <c r="C45" s="77" t="s">
        <v>244</v>
      </c>
      <c r="D45" s="77">
        <v>0</v>
      </c>
      <c r="E45" s="77">
        <v>-141919.12</v>
      </c>
      <c r="F45" s="77">
        <v>-141919.12</v>
      </c>
      <c r="G45" s="77">
        <v>7349.22</v>
      </c>
      <c r="H45" s="77">
        <v>8891.0300000000007</v>
      </c>
    </row>
    <row r="46" spans="1:8" x14ac:dyDescent="0.25">
      <c r="A46" s="77" t="s">
        <v>189</v>
      </c>
      <c r="B46" s="77" t="s">
        <v>190</v>
      </c>
      <c r="C46" s="77" t="s">
        <v>245</v>
      </c>
      <c r="D46" s="77">
        <v>54304.35</v>
      </c>
      <c r="E46" s="77">
        <v>-31778.97</v>
      </c>
      <c r="F46" s="77">
        <v>22525.38</v>
      </c>
      <c r="G46" s="77">
        <v>7349.22</v>
      </c>
      <c r="H46" s="77">
        <v>8891.0300000000007</v>
      </c>
    </row>
    <row r="47" spans="1:8" x14ac:dyDescent="0.25">
      <c r="A47" s="77" t="s">
        <v>191</v>
      </c>
      <c r="B47" s="77" t="s">
        <v>192</v>
      </c>
      <c r="C47" s="77" t="s">
        <v>246</v>
      </c>
      <c r="D47" s="77">
        <v>18120.36</v>
      </c>
      <c r="E47" s="77">
        <v>-17857.61</v>
      </c>
      <c r="F47" s="77">
        <v>262.75</v>
      </c>
      <c r="G47" s="77">
        <v>7349.22</v>
      </c>
      <c r="H47" s="77">
        <v>8891.0300000000007</v>
      </c>
    </row>
    <row r="48" spans="1:8" x14ac:dyDescent="0.25">
      <c r="A48" s="77" t="s">
        <v>193</v>
      </c>
      <c r="B48" s="77" t="s">
        <v>194</v>
      </c>
      <c r="C48" s="77" t="s">
        <v>247</v>
      </c>
      <c r="D48" s="77">
        <v>0</v>
      </c>
      <c r="E48" s="77">
        <v>-22024.17</v>
      </c>
      <c r="F48" s="77">
        <v>-22024.17</v>
      </c>
      <c r="G48" s="77">
        <v>7349.22</v>
      </c>
      <c r="H48" s="77">
        <v>8891.0300000000007</v>
      </c>
    </row>
    <row r="49" spans="1:8" x14ac:dyDescent="0.25">
      <c r="A49" s="77" t="s">
        <v>195</v>
      </c>
      <c r="B49" s="77" t="s">
        <v>196</v>
      </c>
      <c r="C49" s="77" t="s">
        <v>248</v>
      </c>
      <c r="D49" s="77">
        <v>0</v>
      </c>
      <c r="E49" s="77">
        <v>-26603.97</v>
      </c>
      <c r="F49" s="77">
        <v>-26603.97</v>
      </c>
      <c r="G49" s="77">
        <v>7349.22</v>
      </c>
      <c r="H49" s="77">
        <v>8891.0300000000007</v>
      </c>
    </row>
    <row r="50" spans="1:8" x14ac:dyDescent="0.25">
      <c r="A50" s="77" t="s">
        <v>197</v>
      </c>
      <c r="B50" s="77" t="s">
        <v>198</v>
      </c>
      <c r="C50" s="77" t="s">
        <v>249</v>
      </c>
      <c r="D50" s="77">
        <v>105110.31</v>
      </c>
      <c r="E50" s="77">
        <v>-41882.39</v>
      </c>
      <c r="F50" s="77">
        <v>63227.92</v>
      </c>
      <c r="G50" s="77">
        <v>7349.22</v>
      </c>
      <c r="H50" s="77">
        <v>8891.0300000000007</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57722-F730-4335-8441-5C7136DCDDCF}">
  <sheetPr>
    <tabColor rgb="FF002060"/>
    <pageSetUpPr fitToPage="1"/>
  </sheetPr>
  <dimension ref="A1:K36"/>
  <sheetViews>
    <sheetView tabSelected="1" zoomScaleNormal="100" workbookViewId="0">
      <selection sqref="A1:C1"/>
    </sheetView>
  </sheetViews>
  <sheetFormatPr defaultColWidth="9.140625" defaultRowHeight="12.75" x14ac:dyDescent="0.2"/>
  <cols>
    <col min="1" max="1" width="20.140625" style="224" customWidth="1"/>
    <col min="2" max="2" width="71.42578125" style="222" customWidth="1"/>
    <col min="3" max="3" width="41.5703125" style="222" customWidth="1"/>
    <col min="4" max="16384" width="9.140625" style="222"/>
  </cols>
  <sheetData>
    <row r="1" spans="1:11" ht="47.25" customHeight="1" thickBot="1" x14ac:dyDescent="0.25">
      <c r="A1" s="260" t="s">
        <v>920</v>
      </c>
      <c r="B1" s="261"/>
      <c r="C1" s="262"/>
      <c r="D1" s="239"/>
      <c r="E1" s="239"/>
      <c r="F1" s="239"/>
      <c r="G1" s="239"/>
      <c r="H1" s="239"/>
      <c r="I1" s="239"/>
      <c r="J1" s="239"/>
      <c r="K1" s="239"/>
    </row>
    <row r="2" spans="1:11" ht="30" customHeight="1" x14ac:dyDescent="0.2">
      <c r="A2" s="263" t="s">
        <v>921</v>
      </c>
      <c r="B2" s="264"/>
      <c r="C2" s="265"/>
    </row>
    <row r="3" spans="1:11" ht="33.75" customHeight="1" x14ac:dyDescent="0.2">
      <c r="A3" s="223">
        <v>1</v>
      </c>
      <c r="B3" s="258" t="s">
        <v>922</v>
      </c>
      <c r="C3" s="259"/>
    </row>
    <row r="4" spans="1:11" ht="34.5" customHeight="1" x14ac:dyDescent="0.2">
      <c r="A4" s="223">
        <v>2</v>
      </c>
      <c r="B4" s="258" t="s">
        <v>948</v>
      </c>
      <c r="C4" s="259"/>
    </row>
    <row r="5" spans="1:11" ht="33" customHeight="1" x14ac:dyDescent="0.2">
      <c r="A5" s="223">
        <v>3</v>
      </c>
      <c r="B5" s="258" t="s">
        <v>966</v>
      </c>
      <c r="C5" s="259"/>
    </row>
    <row r="6" spans="1:11" ht="36.75" customHeight="1" x14ac:dyDescent="0.2">
      <c r="A6" s="223">
        <v>4</v>
      </c>
      <c r="B6" s="258" t="s">
        <v>923</v>
      </c>
      <c r="C6" s="259"/>
    </row>
    <row r="7" spans="1:11" ht="25.5" customHeight="1" x14ac:dyDescent="0.2">
      <c r="A7" s="223">
        <v>5</v>
      </c>
      <c r="B7" s="258" t="s">
        <v>924</v>
      </c>
      <c r="C7" s="259"/>
    </row>
    <row r="8" spans="1:11" ht="40.5" customHeight="1" x14ac:dyDescent="0.2">
      <c r="A8" s="223">
        <v>6</v>
      </c>
      <c r="B8" s="258" t="s">
        <v>925</v>
      </c>
      <c r="C8" s="259"/>
    </row>
    <row r="9" spans="1:11" ht="54.75" customHeight="1" x14ac:dyDescent="0.2">
      <c r="A9" s="223">
        <v>7</v>
      </c>
      <c r="B9" s="258" t="s">
        <v>967</v>
      </c>
      <c r="C9" s="259"/>
    </row>
    <row r="10" spans="1:11" ht="37.5" customHeight="1" x14ac:dyDescent="0.2">
      <c r="A10" s="223">
        <v>8</v>
      </c>
      <c r="B10" s="258" t="s">
        <v>949</v>
      </c>
      <c r="C10" s="259"/>
    </row>
    <row r="11" spans="1:11" ht="33" customHeight="1" x14ac:dyDescent="0.2">
      <c r="A11" s="223">
        <v>9</v>
      </c>
      <c r="B11" s="258" t="s">
        <v>926</v>
      </c>
      <c r="C11" s="259"/>
    </row>
    <row r="12" spans="1:11" ht="36.75" customHeight="1" x14ac:dyDescent="0.2">
      <c r="A12" s="223">
        <v>10</v>
      </c>
      <c r="B12" s="258" t="s">
        <v>927</v>
      </c>
      <c r="C12" s="259"/>
    </row>
    <row r="13" spans="1:11" ht="40.5" customHeight="1" x14ac:dyDescent="0.2">
      <c r="A13" s="223">
        <v>11</v>
      </c>
      <c r="B13" s="258" t="s">
        <v>928</v>
      </c>
      <c r="C13" s="259"/>
    </row>
    <row r="14" spans="1:11" ht="37.5" customHeight="1" x14ac:dyDescent="0.2">
      <c r="A14" s="266" t="s">
        <v>950</v>
      </c>
      <c r="B14" s="267"/>
      <c r="C14" s="268"/>
    </row>
    <row r="15" spans="1:11" ht="15" x14ac:dyDescent="0.2">
      <c r="A15" s="137"/>
      <c r="B15" s="138" t="s">
        <v>929</v>
      </c>
      <c r="C15" s="139"/>
    </row>
    <row r="16" spans="1:11" ht="15" x14ac:dyDescent="0.2">
      <c r="A16" s="137"/>
      <c r="B16" s="140" t="s">
        <v>930</v>
      </c>
      <c r="C16" s="139"/>
    </row>
    <row r="17" spans="1:3" ht="15" x14ac:dyDescent="0.2">
      <c r="A17" s="137"/>
      <c r="B17" s="140" t="s">
        <v>931</v>
      </c>
      <c r="C17" s="139"/>
    </row>
    <row r="18" spans="1:3" ht="15" x14ac:dyDescent="0.2">
      <c r="A18" s="137"/>
      <c r="B18" s="140" t="s">
        <v>932</v>
      </c>
      <c r="C18" s="139"/>
    </row>
    <row r="19" spans="1:3" ht="15.75" thickBot="1" x14ac:dyDescent="0.25">
      <c r="A19" s="137"/>
      <c r="B19" s="141"/>
      <c r="C19" s="142"/>
    </row>
    <row r="20" spans="1:3" ht="23.25" x14ac:dyDescent="0.2">
      <c r="A20" s="240" t="s">
        <v>17</v>
      </c>
      <c r="B20" s="241" t="s">
        <v>18</v>
      </c>
      <c r="C20" s="242" t="s">
        <v>933</v>
      </c>
    </row>
    <row r="21" spans="1:3" ht="15" x14ac:dyDescent="0.2">
      <c r="A21" s="243" t="s">
        <v>21</v>
      </c>
      <c r="B21" s="244" t="s">
        <v>22</v>
      </c>
      <c r="C21" s="245" t="s">
        <v>34</v>
      </c>
    </row>
    <row r="22" spans="1:3" ht="15" x14ac:dyDescent="0.2">
      <c r="A22" s="243"/>
      <c r="B22" s="244" t="s">
        <v>23</v>
      </c>
      <c r="C22" s="245" t="s">
        <v>34</v>
      </c>
    </row>
    <row r="23" spans="1:3" ht="15" x14ac:dyDescent="0.2">
      <c r="A23" s="243"/>
      <c r="B23" s="244" t="s">
        <v>24</v>
      </c>
      <c r="C23" s="245" t="s">
        <v>34</v>
      </c>
    </row>
    <row r="24" spans="1:3" ht="30" x14ac:dyDescent="0.2">
      <c r="A24" s="243"/>
      <c r="B24" s="244" t="s">
        <v>934</v>
      </c>
      <c r="C24" s="245" t="s">
        <v>955</v>
      </c>
    </row>
    <row r="25" spans="1:3" ht="15" x14ac:dyDescent="0.2">
      <c r="A25" s="243"/>
      <c r="B25" s="246" t="s">
        <v>28</v>
      </c>
      <c r="C25" s="245" t="s">
        <v>956</v>
      </c>
    </row>
    <row r="26" spans="1:3" ht="15" x14ac:dyDescent="0.2">
      <c r="A26" s="243"/>
      <c r="B26" s="246"/>
      <c r="C26" s="245"/>
    </row>
    <row r="27" spans="1:3" ht="15" x14ac:dyDescent="0.2">
      <c r="A27" s="243" t="s">
        <v>42</v>
      </c>
      <c r="B27" s="247" t="s">
        <v>935</v>
      </c>
      <c r="C27" s="248">
        <v>0.66669999999999996</v>
      </c>
    </row>
    <row r="28" spans="1:3" ht="15" x14ac:dyDescent="0.2">
      <c r="A28" s="243"/>
      <c r="B28" s="247"/>
      <c r="C28" s="245"/>
    </row>
    <row r="29" spans="1:3" ht="15" x14ac:dyDescent="0.2">
      <c r="A29" s="243" t="s">
        <v>30</v>
      </c>
      <c r="B29" s="246" t="s">
        <v>31</v>
      </c>
      <c r="C29" s="245" t="s">
        <v>953</v>
      </c>
    </row>
    <row r="30" spans="1:3" ht="15" x14ac:dyDescent="0.2">
      <c r="A30" s="243"/>
      <c r="B30" s="246" t="s">
        <v>32</v>
      </c>
      <c r="C30" s="245" t="s">
        <v>953</v>
      </c>
    </row>
    <row r="31" spans="1:3" ht="15" x14ac:dyDescent="0.2">
      <c r="A31" s="243"/>
      <c r="B31" s="246" t="s">
        <v>33</v>
      </c>
      <c r="C31" s="249" t="s">
        <v>952</v>
      </c>
    </row>
    <row r="32" spans="1:3" ht="15" x14ac:dyDescent="0.2">
      <c r="A32" s="243"/>
      <c r="B32" s="246" t="s">
        <v>35</v>
      </c>
      <c r="C32" s="249">
        <v>9855.6200000000008</v>
      </c>
    </row>
    <row r="33" spans="1:3" ht="15" x14ac:dyDescent="0.2">
      <c r="A33" s="243"/>
      <c r="B33" s="246" t="s">
        <v>936</v>
      </c>
      <c r="C33" s="250">
        <v>0.05</v>
      </c>
    </row>
    <row r="34" spans="1:3" ht="15" x14ac:dyDescent="0.2">
      <c r="A34" s="243"/>
      <c r="B34" s="246" t="s">
        <v>957</v>
      </c>
      <c r="C34" s="251" t="s">
        <v>954</v>
      </c>
    </row>
    <row r="35" spans="1:3" ht="15" x14ac:dyDescent="0.2">
      <c r="A35" s="243"/>
      <c r="B35" s="246" t="s">
        <v>38</v>
      </c>
      <c r="C35" s="245" t="s">
        <v>39</v>
      </c>
    </row>
    <row r="36" spans="1:3" ht="45.75" thickBot="1" x14ac:dyDescent="0.25">
      <c r="A36" s="252"/>
      <c r="B36" s="253" t="s">
        <v>36</v>
      </c>
      <c r="C36" s="254" t="s">
        <v>937</v>
      </c>
    </row>
  </sheetData>
  <sheetProtection algorithmName="SHA-512" hashValue="fV9c8DKqgD93ol194kYYNyl7827mYFj4923D/Ai09z10Kulno3kpQs2QTlEwBosEi04kqLjUOoLLYdf6s/PL0g==" saltValue="xCsjdfAOnLRdITJ4pbI6Kg==" spinCount="100000" sheet="1" objects="1" scenarios="1"/>
  <mergeCells count="14">
    <mergeCell ref="B13:C13"/>
    <mergeCell ref="A14:C14"/>
    <mergeCell ref="B7:C7"/>
    <mergeCell ref="B8:C8"/>
    <mergeCell ref="B9:C9"/>
    <mergeCell ref="B10:C10"/>
    <mergeCell ref="B11:C11"/>
    <mergeCell ref="B12:C12"/>
    <mergeCell ref="B6:C6"/>
    <mergeCell ref="A1:C1"/>
    <mergeCell ref="A2:C2"/>
    <mergeCell ref="B3:C3"/>
    <mergeCell ref="B4:C4"/>
    <mergeCell ref="B5:C5"/>
  </mergeCells>
  <pageMargins left="0.7" right="0.7" top="0.75" bottom="0.7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59877-544E-47D7-A2E1-05823FB85B6B}">
  <dimension ref="A1:P81"/>
  <sheetViews>
    <sheetView workbookViewId="0">
      <pane ySplit="8" topLeftCell="A40" activePane="bottomLeft" state="frozen"/>
      <selection pane="bottomLeft" activeCell="C7" sqref="C7"/>
    </sheetView>
  </sheetViews>
  <sheetFormatPr defaultColWidth="9.140625" defaultRowHeight="15" x14ac:dyDescent="0.25"/>
  <cols>
    <col min="1" max="1" width="5.5703125" style="168" customWidth="1"/>
    <col min="2" max="2" width="5.7109375" style="168" customWidth="1"/>
    <col min="3" max="3" width="12" style="168" customWidth="1"/>
    <col min="4" max="4" width="13.140625" style="168" customWidth="1"/>
    <col min="5" max="5" width="19.85546875" style="168" customWidth="1"/>
    <col min="6" max="6" width="3.5703125" style="168" customWidth="1"/>
    <col min="7" max="7" width="10.85546875" style="168" customWidth="1"/>
    <col min="8" max="8" width="10.42578125" style="168" customWidth="1"/>
    <col min="9" max="9" width="6.140625" style="168" customWidth="1"/>
    <col min="10" max="10" width="1.140625" style="168" customWidth="1"/>
    <col min="11" max="11" width="16.7109375" style="168" customWidth="1"/>
    <col min="12" max="12" width="15.5703125" style="168" customWidth="1"/>
    <col min="13" max="13" width="17.85546875" style="168" customWidth="1"/>
    <col min="14" max="14" width="12.28515625" style="168" bestFit="1" customWidth="1"/>
    <col min="15" max="15" width="9.140625" style="168"/>
    <col min="16" max="16" width="15.28515625" style="168" bestFit="1" customWidth="1"/>
    <col min="17" max="16384" width="9.140625" style="168"/>
  </cols>
  <sheetData>
    <row r="1" spans="1:14" ht="15" customHeight="1" x14ac:dyDescent="0.25">
      <c r="A1" s="220"/>
      <c r="B1" s="221"/>
      <c r="C1" s="221"/>
      <c r="D1" s="221"/>
      <c r="E1" s="221"/>
      <c r="F1" s="221"/>
      <c r="G1" s="221"/>
      <c r="H1" s="221"/>
      <c r="I1" s="221"/>
      <c r="J1" s="221"/>
      <c r="K1" s="221"/>
      <c r="L1" s="221"/>
      <c r="M1" s="145"/>
      <c r="N1" s="146"/>
    </row>
    <row r="2" spans="1:14" ht="15" customHeight="1" x14ac:dyDescent="0.25">
      <c r="A2" s="288" t="s">
        <v>962</v>
      </c>
      <c r="B2" s="289"/>
      <c r="C2" s="289"/>
      <c r="D2" s="289"/>
      <c r="E2" s="289"/>
      <c r="F2" s="289"/>
      <c r="G2" s="289"/>
      <c r="H2" s="289"/>
      <c r="I2" s="289"/>
      <c r="J2" s="289"/>
      <c r="K2" s="289"/>
      <c r="L2" s="289"/>
      <c r="M2" s="289"/>
      <c r="N2" s="290"/>
    </row>
    <row r="3" spans="1:14" ht="15" customHeight="1" x14ac:dyDescent="0.25">
      <c r="A3" s="291" t="s">
        <v>441</v>
      </c>
      <c r="B3" s="292"/>
      <c r="C3" s="292"/>
      <c r="D3" s="292"/>
      <c r="E3" s="292"/>
      <c r="F3" s="292"/>
      <c r="G3" s="292"/>
      <c r="H3" s="292"/>
      <c r="I3" s="292"/>
      <c r="J3" s="292"/>
      <c r="K3" s="292"/>
      <c r="L3" s="292"/>
      <c r="M3" s="292"/>
      <c r="N3" s="293"/>
    </row>
    <row r="4" spans="1:14" ht="31.5" customHeight="1" x14ac:dyDescent="0.25">
      <c r="A4" s="294" t="s">
        <v>996</v>
      </c>
      <c r="B4" s="295"/>
      <c r="C4" s="295"/>
      <c r="D4" s="295"/>
      <c r="E4" s="295"/>
      <c r="F4" s="295"/>
      <c r="G4" s="295"/>
      <c r="H4" s="295"/>
      <c r="I4" s="295"/>
      <c r="J4" s="295"/>
      <c r="K4" s="295"/>
      <c r="L4" s="295"/>
      <c r="M4" s="295"/>
      <c r="N4" s="296"/>
    </row>
    <row r="5" spans="1:14" ht="15" customHeight="1" x14ac:dyDescent="0.25">
      <c r="A5" s="291" t="s">
        <v>963</v>
      </c>
      <c r="B5" s="292"/>
      <c r="C5" s="292"/>
      <c r="D5" s="292"/>
      <c r="E5" s="292"/>
      <c r="F5" s="292"/>
      <c r="G5" s="292"/>
      <c r="H5" s="292"/>
      <c r="I5" s="292"/>
      <c r="J5" s="292"/>
      <c r="K5" s="292"/>
      <c r="L5" s="292"/>
      <c r="M5" s="292"/>
      <c r="N5" s="293"/>
    </row>
    <row r="6" spans="1:14" ht="4.5" customHeight="1" x14ac:dyDescent="0.25">
      <c r="A6" s="287"/>
      <c r="B6" s="282"/>
      <c r="C6" s="282"/>
      <c r="D6" s="282"/>
      <c r="E6" s="282"/>
      <c r="F6" s="282"/>
      <c r="G6" s="282"/>
      <c r="H6" s="282"/>
      <c r="I6" s="282"/>
      <c r="J6" s="282"/>
      <c r="K6" s="282"/>
      <c r="L6" s="282"/>
      <c r="M6" s="155"/>
      <c r="N6" s="143"/>
    </row>
    <row r="7" spans="1:14" ht="21" customHeight="1" x14ac:dyDescent="0.25">
      <c r="A7" s="280" t="s">
        <v>581</v>
      </c>
      <c r="B7" s="281"/>
      <c r="C7" s="257" t="s">
        <v>914</v>
      </c>
      <c r="D7" s="282"/>
      <c r="E7" s="282"/>
      <c r="F7" s="282"/>
      <c r="G7" s="282"/>
      <c r="H7" s="282"/>
      <c r="I7" s="282"/>
      <c r="J7" s="282"/>
      <c r="K7" s="282"/>
      <c r="L7" s="158"/>
      <c r="M7" s="155"/>
      <c r="N7" s="143"/>
    </row>
    <row r="8" spans="1:14" ht="15" customHeight="1" thickBot="1" x14ac:dyDescent="0.3">
      <c r="A8" s="283" t="s">
        <v>964</v>
      </c>
      <c r="B8" s="284"/>
      <c r="C8" s="285" t="str">
        <f>VLOOKUP(C7,'Detailed SFPR_Calc'!$A$5:$B$54,2,FALSE)</f>
        <v>State of Ohio</v>
      </c>
      <c r="D8" s="285"/>
      <c r="E8" s="285"/>
      <c r="F8" s="162"/>
      <c r="G8" s="286" t="s">
        <v>442</v>
      </c>
      <c r="H8" s="286"/>
      <c r="I8" s="286"/>
      <c r="J8" s="286"/>
      <c r="K8" s="286"/>
      <c r="L8" s="163" t="str">
        <f>VLOOKUP(C7,'ADM Data'!$A$2:$C$52,3,FALSE)</f>
        <v>***</v>
      </c>
      <c r="M8" s="164" t="s">
        <v>918</v>
      </c>
      <c r="N8" s="165" t="s">
        <v>919</v>
      </c>
    </row>
    <row r="9" spans="1:14" ht="5.25" customHeight="1" x14ac:dyDescent="0.25">
      <c r="A9" s="144"/>
      <c r="B9" s="278"/>
      <c r="C9" s="278"/>
      <c r="D9" s="278"/>
      <c r="E9" s="278"/>
      <c r="F9" s="278"/>
      <c r="G9" s="278"/>
      <c r="H9" s="278"/>
      <c r="I9" s="278"/>
      <c r="J9" s="278"/>
      <c r="K9" s="278"/>
      <c r="L9" s="278"/>
      <c r="M9" s="155"/>
      <c r="N9" s="143"/>
    </row>
    <row r="10" spans="1:14" ht="14.45" customHeight="1" x14ac:dyDescent="0.25">
      <c r="A10" s="279" t="s">
        <v>443</v>
      </c>
      <c r="B10" s="273"/>
      <c r="C10" s="273"/>
      <c r="D10" s="273"/>
      <c r="E10" s="273"/>
      <c r="F10" s="273"/>
      <c r="G10" s="273"/>
      <c r="H10" s="273"/>
      <c r="I10" s="273"/>
      <c r="J10" s="273"/>
      <c r="K10" s="169"/>
      <c r="L10" s="169"/>
      <c r="M10" s="156"/>
      <c r="N10" s="159"/>
    </row>
    <row r="11" spans="1:14" ht="14.45" customHeight="1" x14ac:dyDescent="0.25">
      <c r="A11" s="170" t="s">
        <v>444</v>
      </c>
      <c r="B11" s="271" t="s">
        <v>416</v>
      </c>
      <c r="C11" s="271"/>
      <c r="D11" s="271"/>
      <c r="E11" s="271"/>
      <c r="F11" s="271"/>
      <c r="G11" s="271"/>
      <c r="H11" s="271"/>
      <c r="I11" s="271"/>
      <c r="J11" s="271"/>
      <c r="K11" s="271"/>
      <c r="L11" s="172">
        <v>8241.61</v>
      </c>
      <c r="M11" s="155"/>
      <c r="N11" s="148"/>
    </row>
    <row r="12" spans="1:14" ht="14.45" customHeight="1" x14ac:dyDescent="0.25">
      <c r="A12" s="170" t="s">
        <v>445</v>
      </c>
      <c r="B12" s="271" t="s">
        <v>446</v>
      </c>
      <c r="C12" s="271"/>
      <c r="D12" s="271"/>
      <c r="E12" s="271"/>
      <c r="F12" s="271"/>
      <c r="G12" s="271"/>
      <c r="H12" s="271"/>
      <c r="I12" s="271"/>
      <c r="J12" s="271"/>
      <c r="K12" s="271"/>
      <c r="L12" s="172">
        <v>9855.6200000000008</v>
      </c>
      <c r="M12" s="155"/>
      <c r="N12" s="148"/>
    </row>
    <row r="13" spans="1:14" ht="14.45" customHeight="1" x14ac:dyDescent="0.25">
      <c r="A13" s="173" t="s">
        <v>447</v>
      </c>
      <c r="B13" s="271" t="s">
        <v>448</v>
      </c>
      <c r="C13" s="271"/>
      <c r="D13" s="271"/>
      <c r="E13" s="271"/>
      <c r="F13" s="271"/>
      <c r="G13" s="271"/>
      <c r="H13" s="271"/>
      <c r="I13" s="271"/>
      <c r="J13" s="271"/>
      <c r="K13" s="271"/>
      <c r="L13" s="174">
        <v>0.40266299999999999</v>
      </c>
      <c r="M13" s="155"/>
      <c r="N13" s="148"/>
    </row>
    <row r="14" spans="1:14" ht="6.75" customHeight="1" x14ac:dyDescent="0.25">
      <c r="A14" s="173"/>
      <c r="B14" s="271"/>
      <c r="C14" s="273"/>
      <c r="D14" s="273"/>
      <c r="E14" s="273"/>
      <c r="F14" s="273"/>
      <c r="G14" s="273"/>
      <c r="H14" s="273"/>
      <c r="I14" s="273"/>
      <c r="J14" s="273"/>
      <c r="K14" s="273"/>
      <c r="L14" s="175"/>
      <c r="M14" s="155"/>
      <c r="N14" s="148"/>
    </row>
    <row r="15" spans="1:14" ht="14.45" customHeight="1" x14ac:dyDescent="0.25">
      <c r="A15" s="275" t="s">
        <v>449</v>
      </c>
      <c r="B15" s="271"/>
      <c r="C15" s="271"/>
      <c r="D15" s="271"/>
      <c r="E15" s="271"/>
      <c r="F15" s="271"/>
      <c r="G15" s="271"/>
      <c r="H15" s="271"/>
      <c r="I15" s="271"/>
      <c r="J15" s="271"/>
      <c r="K15" s="271"/>
      <c r="L15" s="176"/>
      <c r="M15" s="155"/>
      <c r="N15" s="148"/>
    </row>
    <row r="16" spans="1:14" ht="14.45" customHeight="1" x14ac:dyDescent="0.25">
      <c r="A16" s="173" t="s">
        <v>450</v>
      </c>
      <c r="B16" s="276" t="s">
        <v>451</v>
      </c>
      <c r="C16" s="276"/>
      <c r="D16" s="276"/>
      <c r="E16" s="276"/>
      <c r="F16" s="276"/>
      <c r="G16" s="276"/>
      <c r="H16" s="276"/>
      <c r="I16" s="276"/>
      <c r="J16" s="276"/>
      <c r="K16" s="276"/>
      <c r="L16" s="177">
        <f>VLOOKUP(C7,'ADM Data'!$A$2:$D$52,4,FALSE)</f>
        <v>49204.497279000003</v>
      </c>
      <c r="M16" s="160" t="s">
        <v>941</v>
      </c>
      <c r="N16" s="149" t="s">
        <v>559</v>
      </c>
    </row>
    <row r="17" spans="1:14" ht="14.45" customHeight="1" x14ac:dyDescent="0.25">
      <c r="A17" s="173" t="s">
        <v>452</v>
      </c>
      <c r="B17" s="276" t="s">
        <v>453</v>
      </c>
      <c r="C17" s="276"/>
      <c r="D17" s="276"/>
      <c r="E17" s="276"/>
      <c r="F17" s="276"/>
      <c r="G17" s="276"/>
      <c r="H17" s="276"/>
      <c r="I17" s="276"/>
      <c r="J17" s="276"/>
      <c r="K17" s="276"/>
      <c r="L17" s="178">
        <f>VLOOKUP(C7,'Special Edu'!$A$5:$R$54,18,FALSE)</f>
        <v>9265.7986139999994</v>
      </c>
      <c r="M17" s="160"/>
      <c r="N17" s="149"/>
    </row>
    <row r="18" spans="1:14" ht="14.45" customHeight="1" x14ac:dyDescent="0.25">
      <c r="A18" s="173"/>
      <c r="B18" s="179" t="s">
        <v>454</v>
      </c>
      <c r="C18" s="276" t="s">
        <v>455</v>
      </c>
      <c r="D18" s="276"/>
      <c r="E18" s="276"/>
      <c r="F18" s="276"/>
      <c r="G18" s="276"/>
      <c r="H18" s="276"/>
      <c r="I18" s="276"/>
      <c r="J18" s="276"/>
      <c r="K18" s="178">
        <f>VLOOKUP(C7,'ADM Data'!$A$2:$J$52,5,FALSE)</f>
        <v>40.760135000000012</v>
      </c>
      <c r="L18" s="177"/>
      <c r="M18" s="160" t="s">
        <v>941</v>
      </c>
      <c r="N18" s="149" t="s">
        <v>561</v>
      </c>
    </row>
    <row r="19" spans="1:14" ht="14.45" customHeight="1" x14ac:dyDescent="0.25">
      <c r="A19" s="173"/>
      <c r="B19" s="179" t="s">
        <v>456</v>
      </c>
      <c r="C19" s="276" t="s">
        <v>457</v>
      </c>
      <c r="D19" s="276"/>
      <c r="E19" s="276"/>
      <c r="F19" s="276"/>
      <c r="G19" s="276"/>
      <c r="H19" s="276"/>
      <c r="I19" s="276"/>
      <c r="J19" s="276"/>
      <c r="K19" s="178">
        <f>VLOOKUP(C7,'ADM Data'!$A$2:$J$52,6,FALSE)</f>
        <v>7813.7687080000014</v>
      </c>
      <c r="L19" s="177"/>
      <c r="M19" s="160" t="s">
        <v>941</v>
      </c>
      <c r="N19" s="149" t="s">
        <v>563</v>
      </c>
    </row>
    <row r="20" spans="1:14" ht="14.45" customHeight="1" x14ac:dyDescent="0.25">
      <c r="A20" s="173"/>
      <c r="B20" s="179" t="s">
        <v>458</v>
      </c>
      <c r="C20" s="276" t="s">
        <v>459</v>
      </c>
      <c r="D20" s="277"/>
      <c r="E20" s="277"/>
      <c r="F20" s="277"/>
      <c r="G20" s="277"/>
      <c r="H20" s="277"/>
      <c r="I20" s="277"/>
      <c r="J20" s="277"/>
      <c r="K20" s="178">
        <f>VLOOKUP(C7,'ADM Data'!$A$2:$J$52,7,FALSE)</f>
        <v>355.16766300000006</v>
      </c>
      <c r="L20" s="177"/>
      <c r="M20" s="160" t="s">
        <v>941</v>
      </c>
      <c r="N20" s="149" t="s">
        <v>565</v>
      </c>
    </row>
    <row r="21" spans="1:14" ht="14.45" customHeight="1" x14ac:dyDescent="0.25">
      <c r="A21" s="173"/>
      <c r="B21" s="179" t="s">
        <v>460</v>
      </c>
      <c r="C21" s="276" t="s">
        <v>461</v>
      </c>
      <c r="D21" s="277"/>
      <c r="E21" s="277"/>
      <c r="F21" s="277"/>
      <c r="G21" s="277"/>
      <c r="H21" s="277"/>
      <c r="I21" s="277"/>
      <c r="J21" s="277"/>
      <c r="K21" s="178">
        <f>VLOOKUP(C7,'ADM Data'!$A$2:$J$52,8,FALSE)</f>
        <v>34.055531999999999</v>
      </c>
      <c r="L21" s="177"/>
      <c r="M21" s="160" t="s">
        <v>941</v>
      </c>
      <c r="N21" s="149" t="s">
        <v>567</v>
      </c>
    </row>
    <row r="22" spans="1:14" ht="14.45" customHeight="1" x14ac:dyDescent="0.25">
      <c r="A22" s="173"/>
      <c r="B22" s="179" t="s">
        <v>462</v>
      </c>
      <c r="C22" s="276" t="s">
        <v>463</v>
      </c>
      <c r="D22" s="277"/>
      <c r="E22" s="277"/>
      <c r="F22" s="277"/>
      <c r="G22" s="277"/>
      <c r="H22" s="277"/>
      <c r="I22" s="277"/>
      <c r="J22" s="277"/>
      <c r="K22" s="178">
        <f>VLOOKUP(C7,'ADM Data'!$A$2:$J$52,9,FALSE)</f>
        <v>228.90486800000002</v>
      </c>
      <c r="L22" s="177"/>
      <c r="M22" s="160" t="s">
        <v>941</v>
      </c>
      <c r="N22" s="149" t="s">
        <v>569</v>
      </c>
    </row>
    <row r="23" spans="1:14" ht="14.45" customHeight="1" x14ac:dyDescent="0.25">
      <c r="A23" s="173"/>
      <c r="B23" s="179" t="s">
        <v>464</v>
      </c>
      <c r="C23" s="276" t="s">
        <v>465</v>
      </c>
      <c r="D23" s="277"/>
      <c r="E23" s="277"/>
      <c r="F23" s="277"/>
      <c r="G23" s="277"/>
      <c r="H23" s="277"/>
      <c r="I23" s="277"/>
      <c r="J23" s="277"/>
      <c r="K23" s="178">
        <f>VLOOKUP(C7,'ADM Data'!$A$2:$J$52,10,FALSE)</f>
        <v>793.14170799999988</v>
      </c>
      <c r="L23" s="177"/>
      <c r="M23" s="160" t="s">
        <v>941</v>
      </c>
      <c r="N23" s="149" t="s">
        <v>571</v>
      </c>
    </row>
    <row r="24" spans="1:14" ht="14.45" customHeight="1" x14ac:dyDescent="0.25">
      <c r="A24" s="173" t="s">
        <v>466</v>
      </c>
      <c r="B24" s="277" t="s">
        <v>467</v>
      </c>
      <c r="C24" s="277"/>
      <c r="D24" s="277"/>
      <c r="E24" s="277"/>
      <c r="F24" s="277"/>
      <c r="G24" s="277"/>
      <c r="H24" s="277"/>
      <c r="I24" s="277"/>
      <c r="J24" s="277"/>
      <c r="K24" s="277"/>
      <c r="L24" s="177"/>
      <c r="M24" s="160"/>
      <c r="N24" s="149"/>
    </row>
    <row r="25" spans="1:14" ht="14.45" customHeight="1" x14ac:dyDescent="0.25">
      <c r="A25" s="173"/>
      <c r="B25" s="179" t="s">
        <v>468</v>
      </c>
      <c r="C25" s="276" t="s">
        <v>469</v>
      </c>
      <c r="D25" s="276"/>
      <c r="E25" s="276"/>
      <c r="F25" s="276"/>
      <c r="G25" s="276"/>
      <c r="H25" s="276"/>
      <c r="I25" s="276"/>
      <c r="J25" s="276"/>
      <c r="K25" s="178">
        <f>VLOOKUP(C7,'ADM Data'!$A$2:$S$52,11,FALSE)</f>
        <v>19812.854933999999</v>
      </c>
      <c r="L25" s="177"/>
      <c r="M25" s="160" t="s">
        <v>941</v>
      </c>
      <c r="N25" s="149" t="s">
        <v>572</v>
      </c>
    </row>
    <row r="26" spans="1:14" ht="14.45" customHeight="1" x14ac:dyDescent="0.25">
      <c r="A26" s="173"/>
      <c r="B26" s="179" t="s">
        <v>470</v>
      </c>
      <c r="C26" s="276" t="s">
        <v>471</v>
      </c>
      <c r="D26" s="277"/>
      <c r="E26" s="277"/>
      <c r="F26" s="277"/>
      <c r="G26" s="277"/>
      <c r="H26" s="277"/>
      <c r="I26" s="277"/>
      <c r="J26" s="277"/>
      <c r="K26" s="180">
        <f>VLOOKUP(C7,DPIA!$A$5:$F$54,6,FALSE)</f>
        <v>0.40266299999999999</v>
      </c>
      <c r="L26" s="181"/>
      <c r="M26" s="160"/>
      <c r="N26" s="149"/>
    </row>
    <row r="27" spans="1:14" ht="14.45" customHeight="1" x14ac:dyDescent="0.25">
      <c r="A27" s="173"/>
      <c r="B27" s="179" t="s">
        <v>472</v>
      </c>
      <c r="C27" s="276" t="s">
        <v>473</v>
      </c>
      <c r="D27" s="277"/>
      <c r="E27" s="277"/>
      <c r="F27" s="277"/>
      <c r="G27" s="277"/>
      <c r="H27" s="277"/>
      <c r="I27" s="277"/>
      <c r="J27" s="277"/>
      <c r="K27" s="182">
        <f>VLOOKUP(C7,DPIA!$A$5:$G$54,7,FALSE)</f>
        <v>1</v>
      </c>
      <c r="L27" s="183"/>
      <c r="M27" s="160"/>
      <c r="N27" s="149"/>
    </row>
    <row r="28" spans="1:14" ht="14.45" customHeight="1" x14ac:dyDescent="0.25">
      <c r="A28" s="170" t="s">
        <v>474</v>
      </c>
      <c r="B28" s="276" t="s">
        <v>475</v>
      </c>
      <c r="C28" s="276"/>
      <c r="D28" s="276"/>
      <c r="E28" s="276"/>
      <c r="F28" s="276"/>
      <c r="G28" s="276"/>
      <c r="H28" s="276"/>
      <c r="I28" s="276"/>
      <c r="J28" s="276"/>
      <c r="K28" s="276"/>
      <c r="L28" s="178">
        <f>VLOOKUP(C7,EL!$A$5:$M$54,13,FALSE)</f>
        <v>460.46001999999982</v>
      </c>
      <c r="M28" s="160"/>
      <c r="N28" s="149"/>
    </row>
    <row r="29" spans="1:14" ht="14.45" customHeight="1" x14ac:dyDescent="0.25">
      <c r="A29" s="173"/>
      <c r="B29" s="179" t="s">
        <v>476</v>
      </c>
      <c r="C29" s="276" t="s">
        <v>455</v>
      </c>
      <c r="D29" s="277"/>
      <c r="E29" s="277"/>
      <c r="F29" s="277"/>
      <c r="G29" s="277"/>
      <c r="H29" s="277"/>
      <c r="I29" s="277"/>
      <c r="J29" s="277"/>
      <c r="K29" s="178">
        <f>VLOOKUP(C7,'ADM Data'!$A$2:$S$52,12,FALSE)</f>
        <v>18.977434000000002</v>
      </c>
      <c r="L29" s="177"/>
      <c r="M29" s="160" t="s">
        <v>941</v>
      </c>
      <c r="N29" s="149" t="s">
        <v>573</v>
      </c>
    </row>
    <row r="30" spans="1:14" ht="14.45" customHeight="1" x14ac:dyDescent="0.25">
      <c r="A30" s="173"/>
      <c r="B30" s="179" t="s">
        <v>477</v>
      </c>
      <c r="C30" s="276" t="s">
        <v>457</v>
      </c>
      <c r="D30" s="277"/>
      <c r="E30" s="277"/>
      <c r="F30" s="277"/>
      <c r="G30" s="277"/>
      <c r="H30" s="277"/>
      <c r="I30" s="277"/>
      <c r="J30" s="277"/>
      <c r="K30" s="178">
        <f>VLOOKUP(C7,'ADM Data'!$A$2:$S$52,13,FALSE)</f>
        <v>401.04186799999991</v>
      </c>
      <c r="L30" s="177"/>
      <c r="M30" s="160" t="s">
        <v>941</v>
      </c>
      <c r="N30" s="149" t="s">
        <v>574</v>
      </c>
    </row>
    <row r="31" spans="1:14" ht="14.45" customHeight="1" x14ac:dyDescent="0.25">
      <c r="A31" s="173"/>
      <c r="B31" s="179" t="s">
        <v>478</v>
      </c>
      <c r="C31" s="276" t="s">
        <v>459</v>
      </c>
      <c r="D31" s="277"/>
      <c r="E31" s="277"/>
      <c r="F31" s="277"/>
      <c r="G31" s="277"/>
      <c r="H31" s="277"/>
      <c r="I31" s="277"/>
      <c r="J31" s="277"/>
      <c r="K31" s="178">
        <f>VLOOKUP(C7,'ADM Data'!$A$2:$S$52,14,FALSE)</f>
        <v>40.440718000000004</v>
      </c>
      <c r="L31" s="177"/>
      <c r="M31" s="160" t="s">
        <v>941</v>
      </c>
      <c r="N31" s="149" t="s">
        <v>575</v>
      </c>
    </row>
    <row r="32" spans="1:14" ht="14.45" customHeight="1" x14ac:dyDescent="0.25">
      <c r="A32" s="173" t="s">
        <v>479</v>
      </c>
      <c r="B32" s="276" t="s">
        <v>480</v>
      </c>
      <c r="C32" s="276"/>
      <c r="D32" s="276"/>
      <c r="E32" s="276"/>
      <c r="F32" s="276"/>
      <c r="G32" s="276"/>
      <c r="H32" s="276"/>
      <c r="I32" s="276"/>
      <c r="J32" s="276"/>
      <c r="K32" s="276"/>
      <c r="L32" s="177">
        <f>VLOOKUP(C7,CTE!$A$5:$P$54,16,FALSE)</f>
        <v>38550.984649999991</v>
      </c>
      <c r="M32" s="160"/>
      <c r="N32" s="149"/>
    </row>
    <row r="33" spans="1:14" ht="14.45" customHeight="1" x14ac:dyDescent="0.25">
      <c r="A33" s="173"/>
      <c r="B33" s="179" t="s">
        <v>468</v>
      </c>
      <c r="C33" s="276" t="s">
        <v>455</v>
      </c>
      <c r="D33" s="277"/>
      <c r="E33" s="277"/>
      <c r="F33" s="277"/>
      <c r="G33" s="277"/>
      <c r="H33" s="277"/>
      <c r="I33" s="277"/>
      <c r="J33" s="277"/>
      <c r="K33" s="178">
        <f>VLOOKUP(C7,'ADM Data'!$A$2:$S$52,15,FALSE)</f>
        <v>15877.281879000006</v>
      </c>
      <c r="L33" s="177"/>
      <c r="M33" s="160" t="s">
        <v>941</v>
      </c>
      <c r="N33" s="149" t="s">
        <v>942</v>
      </c>
    </row>
    <row r="34" spans="1:14" ht="14.45" customHeight="1" x14ac:dyDescent="0.25">
      <c r="A34" s="173"/>
      <c r="B34" s="179" t="s">
        <v>470</v>
      </c>
      <c r="C34" s="276" t="s">
        <v>457</v>
      </c>
      <c r="D34" s="277"/>
      <c r="E34" s="277"/>
      <c r="F34" s="277"/>
      <c r="G34" s="277"/>
      <c r="H34" s="277"/>
      <c r="I34" s="277"/>
      <c r="J34" s="277"/>
      <c r="K34" s="178">
        <f>VLOOKUP(C7,'ADM Data'!$A$2:$S$52,16,FALSE)</f>
        <v>7451.7317910000011</v>
      </c>
      <c r="L34" s="177"/>
      <c r="M34" s="160" t="s">
        <v>941</v>
      </c>
      <c r="N34" s="149" t="s">
        <v>943</v>
      </c>
    </row>
    <row r="35" spans="1:14" ht="14.45" customHeight="1" x14ac:dyDescent="0.25">
      <c r="A35" s="173"/>
      <c r="B35" s="179" t="s">
        <v>472</v>
      </c>
      <c r="C35" s="276" t="s">
        <v>459</v>
      </c>
      <c r="D35" s="276"/>
      <c r="E35" s="276"/>
      <c r="F35" s="276"/>
      <c r="G35" s="276"/>
      <c r="H35" s="276"/>
      <c r="I35" s="276"/>
      <c r="J35" s="276"/>
      <c r="K35" s="178">
        <f>VLOOKUP(C7,'ADM Data'!$A$2:$S$52,17,FALSE)</f>
        <v>981.64834900000005</v>
      </c>
      <c r="L35" s="177"/>
      <c r="M35" s="160" t="s">
        <v>941</v>
      </c>
      <c r="N35" s="149" t="s">
        <v>944</v>
      </c>
    </row>
    <row r="36" spans="1:14" ht="14.45" customHeight="1" x14ac:dyDescent="0.25">
      <c r="A36" s="173"/>
      <c r="B36" s="179" t="s">
        <v>481</v>
      </c>
      <c r="C36" s="276" t="s">
        <v>461</v>
      </c>
      <c r="D36" s="277"/>
      <c r="E36" s="277"/>
      <c r="F36" s="277"/>
      <c r="G36" s="277"/>
      <c r="H36" s="277"/>
      <c r="I36" s="277"/>
      <c r="J36" s="277"/>
      <c r="K36" s="178">
        <f>VLOOKUP(C7,'ADM Data'!$A$2:$S$52,18,FALSE)</f>
        <v>13732.191009999999</v>
      </c>
      <c r="L36" s="177"/>
      <c r="M36" s="160" t="s">
        <v>941</v>
      </c>
      <c r="N36" s="149" t="s">
        <v>945</v>
      </c>
    </row>
    <row r="37" spans="1:14" ht="14.45" customHeight="1" x14ac:dyDescent="0.25">
      <c r="A37" s="173"/>
      <c r="B37" s="179" t="s">
        <v>482</v>
      </c>
      <c r="C37" s="276" t="s">
        <v>463</v>
      </c>
      <c r="D37" s="277"/>
      <c r="E37" s="277"/>
      <c r="F37" s="277"/>
      <c r="G37" s="277"/>
      <c r="H37" s="277"/>
      <c r="I37" s="277"/>
      <c r="J37" s="277"/>
      <c r="K37" s="178">
        <f>VLOOKUP(C7,'ADM Data'!$A$2:$S$52,19,FALSE)</f>
        <v>508.131621</v>
      </c>
      <c r="L37" s="177"/>
      <c r="M37" s="160" t="s">
        <v>941</v>
      </c>
      <c r="N37" s="149" t="s">
        <v>946</v>
      </c>
    </row>
    <row r="38" spans="1:14" ht="14.45" customHeight="1" x14ac:dyDescent="0.25">
      <c r="A38" s="170" t="s">
        <v>483</v>
      </c>
      <c r="B38" s="276" t="s">
        <v>916</v>
      </c>
      <c r="C38" s="277"/>
      <c r="D38" s="277"/>
      <c r="E38" s="277"/>
      <c r="F38" s="277"/>
      <c r="G38" s="277"/>
      <c r="H38" s="277"/>
      <c r="I38" s="277"/>
      <c r="J38" s="277"/>
      <c r="K38" s="277"/>
      <c r="L38" s="184">
        <f>VLOOKUP(C7,Valuation_data!$A$3:$D$52,4,FALSE)</f>
        <v>260692326204</v>
      </c>
      <c r="M38" s="160" t="s">
        <v>947</v>
      </c>
      <c r="N38" s="149" t="s">
        <v>559</v>
      </c>
    </row>
    <row r="39" spans="1:14" ht="14.45" customHeight="1" x14ac:dyDescent="0.25">
      <c r="A39" s="170" t="s">
        <v>484</v>
      </c>
      <c r="B39" s="276" t="s">
        <v>915</v>
      </c>
      <c r="C39" s="276"/>
      <c r="D39" s="276"/>
      <c r="E39" s="276"/>
      <c r="F39" s="276"/>
      <c r="G39" s="276"/>
      <c r="H39" s="276"/>
      <c r="I39" s="276"/>
      <c r="J39" s="276"/>
      <c r="K39" s="276"/>
      <c r="L39" s="184">
        <f>VLOOKUP(C7,Valuation_data!$A$3:$G$52,7,FALSE)</f>
        <v>232524755600.66663</v>
      </c>
      <c r="M39" s="157"/>
      <c r="N39" s="149"/>
    </row>
    <row r="40" spans="1:14" ht="14.45" customHeight="1" x14ac:dyDescent="0.25">
      <c r="A40" s="173" t="s">
        <v>485</v>
      </c>
      <c r="B40" s="276" t="s">
        <v>486</v>
      </c>
      <c r="C40" s="276"/>
      <c r="D40" s="276"/>
      <c r="E40" s="276"/>
      <c r="F40" s="276"/>
      <c r="G40" s="276"/>
      <c r="H40" s="276"/>
      <c r="I40" s="276"/>
      <c r="J40" s="276"/>
      <c r="K40" s="276"/>
      <c r="L40" s="184">
        <f>VLOOKUP(C7,Valuation_data!$A$3:$H$52,8,FALSE)</f>
        <v>232524755600.66663</v>
      </c>
      <c r="M40" s="157"/>
      <c r="N40" s="149"/>
    </row>
    <row r="41" spans="1:14" ht="6.75" customHeight="1" x14ac:dyDescent="0.25">
      <c r="A41" s="173"/>
      <c r="B41" s="274"/>
      <c r="C41" s="274"/>
      <c r="D41" s="274"/>
      <c r="E41" s="274"/>
      <c r="F41" s="274"/>
      <c r="G41" s="274"/>
      <c r="H41" s="274"/>
      <c r="I41" s="274"/>
      <c r="J41" s="274"/>
      <c r="K41" s="274"/>
      <c r="L41" s="175"/>
      <c r="M41" s="157"/>
      <c r="N41" s="149"/>
    </row>
    <row r="42" spans="1:14" ht="14.45" customHeight="1" x14ac:dyDescent="0.25">
      <c r="A42" s="275" t="s">
        <v>487</v>
      </c>
      <c r="B42" s="271"/>
      <c r="C42" s="271"/>
      <c r="D42" s="271"/>
      <c r="E42" s="271"/>
      <c r="F42" s="271"/>
      <c r="G42" s="271"/>
      <c r="H42" s="271"/>
      <c r="I42" s="271"/>
      <c r="J42" s="271"/>
      <c r="K42" s="271"/>
      <c r="L42" s="175"/>
      <c r="M42" s="157"/>
      <c r="N42" s="150"/>
    </row>
    <row r="43" spans="1:14" ht="14.45" customHeight="1" x14ac:dyDescent="0.25">
      <c r="A43" s="173" t="s">
        <v>488</v>
      </c>
      <c r="B43" s="271" t="s">
        <v>998</v>
      </c>
      <c r="C43" s="271"/>
      <c r="D43" s="271"/>
      <c r="E43" s="271"/>
      <c r="F43" s="271"/>
      <c r="G43" s="271"/>
      <c r="H43" s="271"/>
      <c r="I43" s="271"/>
      <c r="J43" s="271"/>
      <c r="K43" s="271"/>
      <c r="L43" s="185">
        <f>VLOOKUP(C7,'Detailed SFPR_Calc'!$A$5:$D$54,4,FALSE)</f>
        <v>361987870.77417874</v>
      </c>
      <c r="M43" s="157"/>
      <c r="N43" s="151"/>
    </row>
    <row r="44" spans="1:14" ht="14.45" customHeight="1" x14ac:dyDescent="0.25">
      <c r="A44" s="173"/>
      <c r="B44" s="186" t="s">
        <v>489</v>
      </c>
      <c r="C44" s="271" t="s">
        <v>995</v>
      </c>
      <c r="D44" s="271"/>
      <c r="E44" s="271"/>
      <c r="F44" s="271"/>
      <c r="G44" s="271"/>
      <c r="H44" s="271"/>
      <c r="I44" s="271"/>
      <c r="J44" s="271"/>
      <c r="K44" s="172">
        <f>VLOOKUP(C7,'State Share Base Cost'!$A$3:$E$52,5,FALSE)</f>
        <v>478250248.57451212</v>
      </c>
      <c r="L44" s="177"/>
      <c r="M44" s="157"/>
      <c r="N44" s="151"/>
    </row>
    <row r="45" spans="1:14" ht="14.45" customHeight="1" x14ac:dyDescent="0.25">
      <c r="A45" s="173"/>
      <c r="B45" s="186" t="s">
        <v>490</v>
      </c>
      <c r="C45" s="271" t="s">
        <v>491</v>
      </c>
      <c r="D45" s="272"/>
      <c r="E45" s="272"/>
      <c r="F45" s="272"/>
      <c r="G45" s="272"/>
      <c r="H45" s="272"/>
      <c r="I45" s="272"/>
      <c r="J45" s="272"/>
      <c r="K45" s="172">
        <f>VLOOKUP(C7,'State Share Base Cost'!$A$3:$F$52,6,FALSE)</f>
        <v>116262377.80033334</v>
      </c>
      <c r="L45" s="177"/>
      <c r="M45" s="155"/>
      <c r="N45" s="151"/>
    </row>
    <row r="46" spans="1:14" ht="14.45" customHeight="1" x14ac:dyDescent="0.25">
      <c r="A46" s="173"/>
      <c r="B46" s="186" t="s">
        <v>492</v>
      </c>
      <c r="C46" s="271" t="s">
        <v>999</v>
      </c>
      <c r="D46" s="272"/>
      <c r="E46" s="272"/>
      <c r="F46" s="272"/>
      <c r="G46" s="272"/>
      <c r="H46" s="272"/>
      <c r="I46" s="272"/>
      <c r="J46" s="272"/>
      <c r="K46" s="187">
        <f>VLOOKUP(C7,'State Share Base Cost'!$A$3:$H$52,8,FALSE)</f>
        <v>0.75690053999999996</v>
      </c>
      <c r="L46" s="177"/>
      <c r="M46" s="155"/>
      <c r="N46" s="151"/>
    </row>
    <row r="47" spans="1:14" ht="14.45" customHeight="1" x14ac:dyDescent="0.25">
      <c r="A47" s="173" t="s">
        <v>493</v>
      </c>
      <c r="B47" s="271" t="s">
        <v>494</v>
      </c>
      <c r="C47" s="271"/>
      <c r="D47" s="271"/>
      <c r="E47" s="271"/>
      <c r="F47" s="271"/>
      <c r="G47" s="271"/>
      <c r="H47" s="271"/>
      <c r="I47" s="271"/>
      <c r="J47" s="271"/>
      <c r="K47" s="171"/>
      <c r="L47" s="188">
        <f>VLOOKUP(C7,'Special Edu'!$A$5:$R$54,17,FALSE)</f>
        <v>57439692.06995213</v>
      </c>
      <c r="M47" s="155"/>
      <c r="N47" s="151"/>
    </row>
    <row r="48" spans="1:14" ht="14.45" customHeight="1" x14ac:dyDescent="0.25">
      <c r="A48" s="173"/>
      <c r="B48" s="179" t="s">
        <v>495</v>
      </c>
      <c r="C48" s="271" t="s">
        <v>496</v>
      </c>
      <c r="D48" s="272"/>
      <c r="E48" s="272"/>
      <c r="F48" s="272"/>
      <c r="G48" s="272"/>
      <c r="H48" s="272"/>
      <c r="I48" s="272"/>
      <c r="J48" s="272"/>
      <c r="K48" s="172">
        <f>VLOOKUP(C7,'Special Edu'!$A$5:$R$54,11,FALSE)</f>
        <v>60428.600000000006</v>
      </c>
      <c r="L48" s="177"/>
      <c r="M48" s="155"/>
      <c r="N48" s="151"/>
    </row>
    <row r="49" spans="1:14" ht="14.45" customHeight="1" x14ac:dyDescent="0.25">
      <c r="A49" s="173"/>
      <c r="B49" s="179" t="s">
        <v>497</v>
      </c>
      <c r="C49" s="271" t="s">
        <v>498</v>
      </c>
      <c r="D49" s="272"/>
      <c r="E49" s="272"/>
      <c r="F49" s="272"/>
      <c r="G49" s="272"/>
      <c r="H49" s="272"/>
      <c r="I49" s="272"/>
      <c r="J49" s="272"/>
      <c r="K49" s="172">
        <f>VLOOKUP(C7,'Special Edu'!$A$5:$R$54,12,FALSE)</f>
        <v>30117828.5</v>
      </c>
      <c r="L49" s="177"/>
      <c r="M49" s="155"/>
      <c r="N49" s="151"/>
    </row>
    <row r="50" spans="1:14" ht="14.45" customHeight="1" x14ac:dyDescent="0.25">
      <c r="A50" s="173"/>
      <c r="B50" s="179" t="s">
        <v>499</v>
      </c>
      <c r="C50" s="271" t="s">
        <v>500</v>
      </c>
      <c r="D50" s="272"/>
      <c r="E50" s="272"/>
      <c r="F50" s="272"/>
      <c r="G50" s="272"/>
      <c r="H50" s="272"/>
      <c r="I50" s="272"/>
      <c r="J50" s="272"/>
      <c r="K50" s="172">
        <f>VLOOKUP(C7,'Special Edu'!$A$5:$R$54,13,FALSE)</f>
        <v>3255545.2199999993</v>
      </c>
      <c r="L50" s="177"/>
      <c r="M50" s="155"/>
      <c r="N50" s="151"/>
    </row>
    <row r="51" spans="1:14" ht="14.45" customHeight="1" x14ac:dyDescent="0.25">
      <c r="A51" s="173"/>
      <c r="B51" s="179" t="s">
        <v>501</v>
      </c>
      <c r="C51" s="271" t="s">
        <v>502</v>
      </c>
      <c r="D51" s="272"/>
      <c r="E51" s="272"/>
      <c r="F51" s="272"/>
      <c r="G51" s="272"/>
      <c r="H51" s="272"/>
      <c r="I51" s="272"/>
      <c r="J51" s="272"/>
      <c r="K51" s="172">
        <f>VLOOKUP(C7,'Special Edu'!$A$5:$R$54,14,FALSE)</f>
        <v>424544.37995214149</v>
      </c>
      <c r="L51" s="177"/>
      <c r="M51" s="155"/>
      <c r="N51" s="151"/>
    </row>
    <row r="52" spans="1:14" ht="14.45" customHeight="1" x14ac:dyDescent="0.25">
      <c r="A52" s="173"/>
      <c r="B52" s="179" t="s">
        <v>503</v>
      </c>
      <c r="C52" s="271" t="s">
        <v>504</v>
      </c>
      <c r="D52" s="272"/>
      <c r="E52" s="272"/>
      <c r="F52" s="272"/>
      <c r="G52" s="272"/>
      <c r="H52" s="272"/>
      <c r="I52" s="272"/>
      <c r="J52" s="272"/>
      <c r="K52" s="172">
        <f>VLOOKUP(C7,'Special Edu'!$A$5:$R$54,15,FALSE)</f>
        <v>4031771.3700000006</v>
      </c>
      <c r="L52" s="177"/>
      <c r="M52" s="155"/>
      <c r="N52" s="151"/>
    </row>
    <row r="53" spans="1:14" ht="14.45" customHeight="1" x14ac:dyDescent="0.25">
      <c r="A53" s="173"/>
      <c r="B53" s="179" t="s">
        <v>505</v>
      </c>
      <c r="C53" s="271" t="s">
        <v>506</v>
      </c>
      <c r="D53" s="272"/>
      <c r="E53" s="272"/>
      <c r="F53" s="272"/>
      <c r="G53" s="272"/>
      <c r="H53" s="272"/>
      <c r="I53" s="272"/>
      <c r="J53" s="272"/>
      <c r="K53" s="172">
        <f>VLOOKUP(C7,'Special Edu'!$A$5:$R$54,16,FALSE)</f>
        <v>19549574</v>
      </c>
      <c r="L53" s="177"/>
      <c r="M53" s="155"/>
      <c r="N53" s="151"/>
    </row>
    <row r="54" spans="1:14" ht="14.45" customHeight="1" x14ac:dyDescent="0.25">
      <c r="A54" s="173" t="s">
        <v>507</v>
      </c>
      <c r="B54" s="271" t="s">
        <v>508</v>
      </c>
      <c r="C54" s="271"/>
      <c r="D54" s="271"/>
      <c r="E54" s="271"/>
      <c r="F54" s="271"/>
      <c r="G54" s="271"/>
      <c r="H54" s="271"/>
      <c r="I54" s="271"/>
      <c r="J54" s="271"/>
      <c r="K54" s="271"/>
      <c r="L54" s="188">
        <f>VLOOKUP(C7,DPIA!$A$5:$H$54,8,FALSE)</f>
        <v>12995815.060000001</v>
      </c>
      <c r="M54" s="155"/>
      <c r="N54" s="150"/>
    </row>
    <row r="55" spans="1:14" ht="14.45" customHeight="1" x14ac:dyDescent="0.25">
      <c r="A55" s="173" t="s">
        <v>509</v>
      </c>
      <c r="B55" s="271" t="s">
        <v>510</v>
      </c>
      <c r="C55" s="271"/>
      <c r="D55" s="271"/>
      <c r="E55" s="271"/>
      <c r="F55" s="271"/>
      <c r="G55" s="271"/>
      <c r="H55" s="271"/>
      <c r="I55" s="271"/>
      <c r="J55" s="271"/>
      <c r="K55" s="271"/>
      <c r="L55" s="188">
        <f>VLOOKUP(C7,EL!$A$5:$L$54,12,FALSE)</f>
        <v>421419.40042697708</v>
      </c>
      <c r="M55" s="155"/>
      <c r="N55" s="150"/>
    </row>
    <row r="56" spans="1:14" ht="14.45" customHeight="1" x14ac:dyDescent="0.25">
      <c r="A56" s="173"/>
      <c r="B56" s="179" t="s">
        <v>511</v>
      </c>
      <c r="C56" s="271" t="s">
        <v>512</v>
      </c>
      <c r="D56" s="272"/>
      <c r="E56" s="272"/>
      <c r="F56" s="272"/>
      <c r="G56" s="272"/>
      <c r="H56" s="272"/>
      <c r="I56" s="272"/>
      <c r="J56" s="272"/>
      <c r="K56" s="172">
        <f>VLOOKUP(C7,EL!$A$5:$L$54,9,FALSE)</f>
        <v>25894.511407801896</v>
      </c>
      <c r="L56" s="177"/>
      <c r="M56" s="155"/>
      <c r="N56" s="150"/>
    </row>
    <row r="57" spans="1:14" ht="14.45" customHeight="1" x14ac:dyDescent="0.25">
      <c r="A57" s="173"/>
      <c r="B57" s="179" t="s">
        <v>513</v>
      </c>
      <c r="C57" s="271" t="s">
        <v>514</v>
      </c>
      <c r="D57" s="272"/>
      <c r="E57" s="272"/>
      <c r="F57" s="272"/>
      <c r="G57" s="272"/>
      <c r="H57" s="272"/>
      <c r="I57" s="272"/>
      <c r="J57" s="272"/>
      <c r="K57" s="225">
        <f>VLOOKUP(C7,EL!$A$5:$L$54,10,FALSE)</f>
        <v>370821.81711972249</v>
      </c>
      <c r="L57" s="177"/>
      <c r="M57" s="155"/>
      <c r="N57" s="150"/>
    </row>
    <row r="58" spans="1:14" ht="14.45" customHeight="1" x14ac:dyDescent="0.25">
      <c r="A58" s="173"/>
      <c r="B58" s="179" t="s">
        <v>515</v>
      </c>
      <c r="C58" s="271" t="s">
        <v>516</v>
      </c>
      <c r="D58" s="272"/>
      <c r="E58" s="272"/>
      <c r="F58" s="272"/>
      <c r="G58" s="272"/>
      <c r="H58" s="272"/>
      <c r="I58" s="272"/>
      <c r="J58" s="272"/>
      <c r="K58" s="225">
        <f>VLOOKUP(C7,EL!$A$5:$L$54,11,FALSE)</f>
        <v>24703.071899452541</v>
      </c>
      <c r="L58" s="177"/>
      <c r="M58" s="155"/>
      <c r="N58" s="150"/>
    </row>
    <row r="59" spans="1:14" ht="14.45" customHeight="1" x14ac:dyDescent="0.25">
      <c r="A59" s="173" t="s">
        <v>517</v>
      </c>
      <c r="B59" s="271" t="s">
        <v>518</v>
      </c>
      <c r="C59" s="271"/>
      <c r="D59" s="271"/>
      <c r="E59" s="271"/>
      <c r="F59" s="271"/>
      <c r="G59" s="271"/>
      <c r="H59" s="271"/>
      <c r="I59" s="271"/>
      <c r="J59" s="271"/>
      <c r="K59" s="271"/>
      <c r="L59" s="188">
        <f>VLOOKUP(C7,CTE!$A$5:$R$54,18,FALSE)</f>
        <v>135188616.0602054</v>
      </c>
      <c r="M59" s="161"/>
      <c r="N59" s="150"/>
    </row>
    <row r="60" spans="1:14" ht="14.45" customHeight="1" x14ac:dyDescent="0.25">
      <c r="A60" s="173"/>
      <c r="B60" s="179" t="s">
        <v>519</v>
      </c>
      <c r="C60" s="271" t="s">
        <v>520</v>
      </c>
      <c r="D60" s="272"/>
      <c r="E60" s="272"/>
      <c r="F60" s="272"/>
      <c r="G60" s="272"/>
      <c r="H60" s="272"/>
      <c r="I60" s="272"/>
      <c r="J60" s="272"/>
      <c r="K60" s="189">
        <f>VLOOKUP(C7,CTE!$A$5:$R$54,10,FALSE)</f>
        <v>73347883.210669011</v>
      </c>
      <c r="L60" s="190"/>
      <c r="M60" s="161"/>
      <c r="N60" s="152"/>
    </row>
    <row r="61" spans="1:14" ht="14.45" customHeight="1" x14ac:dyDescent="0.25">
      <c r="A61" s="173"/>
      <c r="B61" s="179" t="s">
        <v>521</v>
      </c>
      <c r="C61" s="271" t="s">
        <v>522</v>
      </c>
      <c r="D61" s="272"/>
      <c r="E61" s="272"/>
      <c r="F61" s="272"/>
      <c r="G61" s="272"/>
      <c r="H61" s="272"/>
      <c r="I61" s="272"/>
      <c r="J61" s="272"/>
      <c r="K61" s="189">
        <f>VLOOKUP(C7,CTE!$A$5:$R$54,11,FALSE)</f>
        <v>32160277.061439648</v>
      </c>
      <c r="L61" s="190"/>
      <c r="M61" s="155"/>
      <c r="N61" s="152"/>
    </row>
    <row r="62" spans="1:14" ht="14.45" customHeight="1" x14ac:dyDescent="0.25">
      <c r="A62" s="173"/>
      <c r="B62" s="179" t="s">
        <v>523</v>
      </c>
      <c r="C62" s="271" t="s">
        <v>524</v>
      </c>
      <c r="D62" s="272"/>
      <c r="E62" s="272"/>
      <c r="F62" s="272"/>
      <c r="G62" s="272"/>
      <c r="H62" s="272"/>
      <c r="I62" s="272"/>
      <c r="J62" s="272"/>
      <c r="K62" s="189">
        <f>VLOOKUP(C7,CTE!$A$5:$R$54,12,FALSE)</f>
        <v>1586485.9231301851</v>
      </c>
      <c r="M62" s="155"/>
      <c r="N62" s="152"/>
    </row>
    <row r="63" spans="1:14" ht="14.45" customHeight="1" x14ac:dyDescent="0.25">
      <c r="A63" s="173"/>
      <c r="B63" s="179" t="s">
        <v>525</v>
      </c>
      <c r="C63" s="271" t="s">
        <v>526</v>
      </c>
      <c r="D63" s="272"/>
      <c r="E63" s="272"/>
      <c r="F63" s="272"/>
      <c r="G63" s="272"/>
      <c r="H63" s="272"/>
      <c r="I63" s="272"/>
      <c r="J63" s="272"/>
      <c r="K63" s="189">
        <f>VLOOKUP(C7,CTE!$A$5:$R$54,13,FALSE)</f>
        <v>18992522.284962818</v>
      </c>
      <c r="M63" s="161"/>
      <c r="N63" s="226"/>
    </row>
    <row r="64" spans="1:14" ht="14.45" customHeight="1" x14ac:dyDescent="0.25">
      <c r="A64" s="173"/>
      <c r="B64" s="179" t="s">
        <v>527</v>
      </c>
      <c r="C64" s="271" t="s">
        <v>528</v>
      </c>
      <c r="D64" s="272"/>
      <c r="E64" s="272"/>
      <c r="F64" s="272"/>
      <c r="G64" s="272"/>
      <c r="H64" s="272"/>
      <c r="I64" s="272"/>
      <c r="J64" s="272"/>
      <c r="K64" s="189">
        <f>VLOOKUP(C7,CTE!$A$5:$R$54,14,FALSE)</f>
        <v>649463.90033469698</v>
      </c>
      <c r="M64" s="155"/>
      <c r="N64" s="152"/>
    </row>
    <row r="65" spans="1:16" ht="14.45" customHeight="1" x14ac:dyDescent="0.25">
      <c r="A65" s="173"/>
      <c r="B65" s="179" t="s">
        <v>529</v>
      </c>
      <c r="C65" s="271" t="s">
        <v>530</v>
      </c>
      <c r="D65" s="272"/>
      <c r="E65" s="272"/>
      <c r="F65" s="272"/>
      <c r="G65" s="272"/>
      <c r="H65" s="272"/>
      <c r="I65" s="272"/>
      <c r="J65" s="272"/>
      <c r="K65" s="189">
        <f>VLOOKUP(C7,CTE!$A$5:$R$54,17,FALSE)</f>
        <v>8451983.6796690412</v>
      </c>
      <c r="M65" s="155"/>
      <c r="N65" s="152"/>
    </row>
    <row r="66" spans="1:16" ht="14.45" customHeight="1" x14ac:dyDescent="0.25">
      <c r="A66" s="173" t="s">
        <v>531</v>
      </c>
      <c r="B66" s="271" t="s">
        <v>917</v>
      </c>
      <c r="C66" s="271"/>
      <c r="D66" s="271"/>
      <c r="E66" s="271"/>
      <c r="F66" s="271"/>
      <c r="G66" s="271"/>
      <c r="H66" s="271"/>
      <c r="I66" s="271"/>
      <c r="J66" s="271"/>
      <c r="K66" s="271"/>
      <c r="L66" s="188">
        <f>VLOOKUP(C7,'Detailed SFPR_Calc'!$A$5:$U$54,15,FALSE)</f>
        <v>486556590.19367576</v>
      </c>
      <c r="M66" s="155"/>
      <c r="N66" s="152"/>
    </row>
    <row r="67" spans="1:16" ht="14.45" customHeight="1" x14ac:dyDescent="0.25">
      <c r="A67" s="173"/>
      <c r="B67" s="186" t="s">
        <v>532</v>
      </c>
      <c r="C67" s="271" t="s">
        <v>533</v>
      </c>
      <c r="D67" s="272"/>
      <c r="E67" s="272"/>
      <c r="F67" s="272"/>
      <c r="G67" s="272"/>
      <c r="H67" s="272"/>
      <c r="I67" s="272"/>
      <c r="J67" s="272"/>
      <c r="K67" s="189">
        <f>VLOOKUP(C7,'Detailed SFPR_Calc'!$A$5:$U$54,9,FALSE)</f>
        <v>568033413.36476314</v>
      </c>
      <c r="L67" s="177"/>
      <c r="M67" s="155"/>
      <c r="N67" s="152"/>
    </row>
    <row r="68" spans="1:16" ht="14.45" customHeight="1" x14ac:dyDescent="0.25">
      <c r="A68" s="173"/>
      <c r="B68" s="186" t="s">
        <v>534</v>
      </c>
      <c r="C68" s="271" t="s">
        <v>535</v>
      </c>
      <c r="D68" s="272"/>
      <c r="E68" s="272"/>
      <c r="F68" s="272"/>
      <c r="G68" s="272"/>
      <c r="H68" s="272"/>
      <c r="I68" s="272"/>
      <c r="J68" s="272"/>
      <c r="K68" s="189">
        <f>VLOOKUP(C7,'Detailed SFPR_Calc'!$A$5:$U$54,12,FALSE)</f>
        <v>323578498.36000001</v>
      </c>
      <c r="L68" s="177"/>
      <c r="M68" s="155"/>
      <c r="N68" s="152"/>
    </row>
    <row r="69" spans="1:16" ht="14.45" customHeight="1" x14ac:dyDescent="0.25">
      <c r="A69" s="173"/>
      <c r="B69" s="186" t="s">
        <v>536</v>
      </c>
      <c r="C69" s="271" t="s">
        <v>537</v>
      </c>
      <c r="D69" s="272"/>
      <c r="E69" s="272"/>
      <c r="F69" s="272"/>
      <c r="G69" s="272"/>
      <c r="H69" s="272"/>
      <c r="I69" s="272"/>
      <c r="J69" s="272"/>
      <c r="K69" s="189">
        <f>VLOOKUP(C7,'Detailed SFPR_Calc'!$A$5:$U$54,13,FALSE)</f>
        <v>6278621.8099999987</v>
      </c>
      <c r="L69" s="177"/>
      <c r="M69" s="155"/>
      <c r="N69" s="152"/>
    </row>
    <row r="70" spans="1:16" ht="14.45" customHeight="1" x14ac:dyDescent="0.25">
      <c r="A70" s="173"/>
      <c r="B70" s="186" t="s">
        <v>538</v>
      </c>
      <c r="C70" s="271" t="s">
        <v>539</v>
      </c>
      <c r="D70" s="272"/>
      <c r="E70" s="272"/>
      <c r="F70" s="272"/>
      <c r="G70" s="272"/>
      <c r="H70" s="272"/>
      <c r="I70" s="272"/>
      <c r="J70" s="272"/>
      <c r="K70" s="189">
        <f>VLOOKUP(C7,'Detailed SFPR_Calc'!$A$5:$U$54,14,FALSE)</f>
        <v>317299876.55000001</v>
      </c>
      <c r="L70" s="177"/>
      <c r="M70" s="155"/>
      <c r="N70" s="152"/>
    </row>
    <row r="71" spans="1:16" ht="14.45" customHeight="1" x14ac:dyDescent="0.25">
      <c r="A71" s="173" t="s">
        <v>540</v>
      </c>
      <c r="B71" s="271" t="s">
        <v>541</v>
      </c>
      <c r="C71" s="271"/>
      <c r="D71" s="271"/>
      <c r="E71" s="271"/>
      <c r="F71" s="271"/>
      <c r="G71" s="271"/>
      <c r="H71" s="271"/>
      <c r="I71" s="271"/>
      <c r="J71" s="271"/>
      <c r="K71" s="271"/>
      <c r="L71" s="188">
        <f>VLOOKUP(C7,'Detailed SFPR_Calc'!$A$5:$U$54,16,FALSE)</f>
        <v>0</v>
      </c>
      <c r="M71" s="155"/>
      <c r="N71" s="152"/>
    </row>
    <row r="72" spans="1:16" ht="14.45" customHeight="1" x14ac:dyDescent="0.25">
      <c r="A72" s="173" t="s">
        <v>542</v>
      </c>
      <c r="B72" s="271" t="s">
        <v>543</v>
      </c>
      <c r="C72" s="272"/>
      <c r="D72" s="272"/>
      <c r="E72" s="272"/>
      <c r="F72" s="272"/>
      <c r="G72" s="272"/>
      <c r="H72" s="272"/>
      <c r="I72" s="272"/>
      <c r="J72" s="272"/>
      <c r="K72" s="272"/>
      <c r="L72" s="188">
        <f>VLOOKUP(C7,'Detailed SFPR_Calc'!$A$5:$U$54,20,FALSE)</f>
        <v>36230.133936249651</v>
      </c>
      <c r="M72" s="155"/>
      <c r="N72" s="152"/>
    </row>
    <row r="73" spans="1:16" ht="14.45" customHeight="1" x14ac:dyDescent="0.25">
      <c r="A73" s="173"/>
      <c r="B73" s="186" t="s">
        <v>544</v>
      </c>
      <c r="C73" s="273" t="s">
        <v>545</v>
      </c>
      <c r="D73" s="272"/>
      <c r="E73" s="272"/>
      <c r="F73" s="272"/>
      <c r="G73" s="272"/>
      <c r="H73" s="272"/>
      <c r="I73" s="272"/>
      <c r="J73" s="272"/>
      <c r="K73" s="189">
        <f>VLOOKUP(C7,'Detailed SFPR_Calc'!$A$5:$U$54,19,FALSE)</f>
        <v>335287000.70999998</v>
      </c>
      <c r="L73" s="191"/>
      <c r="M73" s="155"/>
      <c r="N73" s="153"/>
    </row>
    <row r="74" spans="1:16" ht="14.45" customHeight="1" thickBot="1" x14ac:dyDescent="0.3">
      <c r="A74" s="192" t="s">
        <v>546</v>
      </c>
      <c r="B74" s="269" t="s">
        <v>547</v>
      </c>
      <c r="C74" s="270"/>
      <c r="D74" s="270"/>
      <c r="E74" s="270"/>
      <c r="F74" s="270"/>
      <c r="G74" s="270"/>
      <c r="H74" s="270"/>
      <c r="I74" s="270"/>
      <c r="J74" s="270"/>
      <c r="K74" s="270"/>
      <c r="L74" s="193">
        <f>VLOOKUP(C7,'Detailed SFPR_Calc'!$A$5:$U$54,21,FALSE)</f>
        <v>486592820.32761198</v>
      </c>
      <c r="M74" s="147"/>
      <c r="N74" s="154"/>
    </row>
    <row r="75" spans="1:16" x14ac:dyDescent="0.25">
      <c r="N75" s="194"/>
      <c r="P75" s="195"/>
    </row>
    <row r="76" spans="1:16" x14ac:dyDescent="0.25">
      <c r="N76" s="194"/>
    </row>
    <row r="77" spans="1:16" x14ac:dyDescent="0.25">
      <c r="P77" s="196"/>
    </row>
    <row r="79" spans="1:16" x14ac:dyDescent="0.25">
      <c r="L79" s="197"/>
    </row>
    <row r="81" spans="12:12" x14ac:dyDescent="0.25">
      <c r="L81" s="197"/>
    </row>
  </sheetData>
  <sheetProtection algorithmName="SHA-512" hashValue="eYXd9vs6UpA2KFU+q9BlYfbDLuLhNqlNyeufkxiNyWVAgzJecE8NvHo2l6eCOTDfINGzWCefVXUYCNHab0hpqw==" saltValue="s3NkW65M8gylAbumbR8HFw==" spinCount="100000" sheet="1" objects="1" scenarios="1"/>
  <mergeCells count="76">
    <mergeCell ref="C67:J67"/>
    <mergeCell ref="C68:J68"/>
    <mergeCell ref="C69:J69"/>
    <mergeCell ref="C70:J70"/>
    <mergeCell ref="B71:K71"/>
    <mergeCell ref="B40:K40"/>
    <mergeCell ref="B43:K43"/>
    <mergeCell ref="C46:J46"/>
    <mergeCell ref="C44:J44"/>
    <mergeCell ref="C45:J45"/>
    <mergeCell ref="A6:L6"/>
    <mergeCell ref="A2:N2"/>
    <mergeCell ref="A3:N3"/>
    <mergeCell ref="A4:N4"/>
    <mergeCell ref="A5:N5"/>
    <mergeCell ref="A7:B7"/>
    <mergeCell ref="D7:K7"/>
    <mergeCell ref="A8:B8"/>
    <mergeCell ref="C8:E8"/>
    <mergeCell ref="G8:K8"/>
    <mergeCell ref="B9:L9"/>
    <mergeCell ref="A10:J10"/>
    <mergeCell ref="B13:K13"/>
    <mergeCell ref="B14:K14"/>
    <mergeCell ref="B16:K16"/>
    <mergeCell ref="B17:K17"/>
    <mergeCell ref="A15:K15"/>
    <mergeCell ref="B32:K32"/>
    <mergeCell ref="B28:K28"/>
    <mergeCell ref="C18:J18"/>
    <mergeCell ref="C19:J19"/>
    <mergeCell ref="C20:J20"/>
    <mergeCell ref="C21:J21"/>
    <mergeCell ref="C22:J22"/>
    <mergeCell ref="C23:J23"/>
    <mergeCell ref="C25:J25"/>
    <mergeCell ref="C31:J31"/>
    <mergeCell ref="B24:K24"/>
    <mergeCell ref="B38:K38"/>
    <mergeCell ref="B39:K39"/>
    <mergeCell ref="C26:J26"/>
    <mergeCell ref="C27:J27"/>
    <mergeCell ref="C29:J29"/>
    <mergeCell ref="C30:J30"/>
    <mergeCell ref="C37:J37"/>
    <mergeCell ref="C33:J33"/>
    <mergeCell ref="C34:J34"/>
    <mergeCell ref="C35:J35"/>
    <mergeCell ref="C36:J36"/>
    <mergeCell ref="C49:J49"/>
    <mergeCell ref="B41:K41"/>
    <mergeCell ref="A42:K42"/>
    <mergeCell ref="C56:J56"/>
    <mergeCell ref="C57:J57"/>
    <mergeCell ref="B54:K54"/>
    <mergeCell ref="B55:K55"/>
    <mergeCell ref="C50:J50"/>
    <mergeCell ref="C51:J51"/>
    <mergeCell ref="C52:J52"/>
    <mergeCell ref="C53:J53"/>
    <mergeCell ref="B74:K74"/>
    <mergeCell ref="B11:K11"/>
    <mergeCell ref="B12:K12"/>
    <mergeCell ref="C65:J65"/>
    <mergeCell ref="B59:K59"/>
    <mergeCell ref="B66:K66"/>
    <mergeCell ref="B72:K72"/>
    <mergeCell ref="C73:J73"/>
    <mergeCell ref="C60:J60"/>
    <mergeCell ref="C61:J61"/>
    <mergeCell ref="C62:J62"/>
    <mergeCell ref="C63:J63"/>
    <mergeCell ref="C64:J64"/>
    <mergeCell ref="C58:J58"/>
    <mergeCell ref="B47:J47"/>
    <mergeCell ref="C48:J48"/>
  </mergeCells>
  <pageMargins left="0.25" right="0.25" top="0" bottom="0" header="0" footer="0"/>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9138B-A2BE-4883-8F68-DA4F5B381AAA}">
  <dimension ref="A1:N33"/>
  <sheetViews>
    <sheetView workbookViewId="0">
      <pane ySplit="8" topLeftCell="A9" activePane="bottomLeft" state="frozen"/>
      <selection pane="bottomLeft" activeCell="C7" sqref="C7"/>
    </sheetView>
  </sheetViews>
  <sheetFormatPr defaultColWidth="9.140625" defaultRowHeight="15" x14ac:dyDescent="0.25"/>
  <cols>
    <col min="1" max="1" width="5.5703125" style="200" customWidth="1"/>
    <col min="2" max="2" width="5.7109375" style="200" customWidth="1"/>
    <col min="3" max="3" width="12" style="200" customWidth="1"/>
    <col min="4" max="4" width="13.140625" style="200" customWidth="1"/>
    <col min="5" max="5" width="18.28515625" style="200" customWidth="1"/>
    <col min="6" max="6" width="3.5703125" style="200" customWidth="1"/>
    <col min="7" max="7" width="12.28515625" style="200" customWidth="1"/>
    <col min="8" max="8" width="10.42578125" style="200" customWidth="1"/>
    <col min="9" max="9" width="6.140625" style="200" customWidth="1"/>
    <col min="10" max="10" width="1.140625" style="200" customWidth="1"/>
    <col min="11" max="11" width="16.7109375" style="200" customWidth="1"/>
    <col min="12" max="12" width="16.140625" style="200" customWidth="1"/>
    <col min="13" max="13" width="9.140625" style="200" customWidth="1"/>
    <col min="14" max="14" width="15.28515625" style="200" bestFit="1" customWidth="1"/>
    <col min="15" max="16384" width="9.140625" style="200"/>
  </cols>
  <sheetData>
    <row r="1" spans="1:12" s="198" customFormat="1" ht="15" customHeight="1" x14ac:dyDescent="0.25">
      <c r="A1" s="316"/>
      <c r="B1" s="317"/>
      <c r="C1" s="317"/>
      <c r="D1" s="317"/>
      <c r="E1" s="317"/>
      <c r="F1" s="317"/>
      <c r="G1" s="317"/>
      <c r="H1" s="317"/>
      <c r="I1" s="317"/>
      <c r="J1" s="317"/>
      <c r="K1" s="317"/>
      <c r="L1" s="318"/>
    </row>
    <row r="2" spans="1:12" s="199" customFormat="1" ht="15" customHeight="1" x14ac:dyDescent="0.25">
      <c r="A2" s="288" t="s">
        <v>962</v>
      </c>
      <c r="B2" s="289"/>
      <c r="C2" s="289"/>
      <c r="D2" s="289"/>
      <c r="E2" s="289"/>
      <c r="F2" s="289"/>
      <c r="G2" s="289"/>
      <c r="H2" s="289"/>
      <c r="I2" s="289"/>
      <c r="J2" s="289"/>
      <c r="K2" s="289"/>
      <c r="L2" s="290"/>
    </row>
    <row r="3" spans="1:12" ht="15" customHeight="1" x14ac:dyDescent="0.25">
      <c r="A3" s="291" t="s">
        <v>441</v>
      </c>
      <c r="B3" s="292"/>
      <c r="C3" s="292"/>
      <c r="D3" s="292"/>
      <c r="E3" s="292"/>
      <c r="F3" s="292"/>
      <c r="G3" s="292"/>
      <c r="H3" s="292"/>
      <c r="I3" s="292"/>
      <c r="J3" s="292"/>
      <c r="K3" s="292"/>
      <c r="L3" s="293"/>
    </row>
    <row r="4" spans="1:12" ht="32.25" customHeight="1" x14ac:dyDescent="0.25">
      <c r="A4" s="294" t="s">
        <v>997</v>
      </c>
      <c r="B4" s="295"/>
      <c r="C4" s="295"/>
      <c r="D4" s="295"/>
      <c r="E4" s="295"/>
      <c r="F4" s="295"/>
      <c r="G4" s="295"/>
      <c r="H4" s="295"/>
      <c r="I4" s="295"/>
      <c r="J4" s="295"/>
      <c r="K4" s="295"/>
      <c r="L4" s="296"/>
    </row>
    <row r="5" spans="1:12" ht="15" customHeight="1" x14ac:dyDescent="0.25">
      <c r="A5" s="291" t="s">
        <v>963</v>
      </c>
      <c r="B5" s="292"/>
      <c r="C5" s="292"/>
      <c r="D5" s="292"/>
      <c r="E5" s="292"/>
      <c r="F5" s="292"/>
      <c r="G5" s="292"/>
      <c r="H5" s="292"/>
      <c r="I5" s="292"/>
      <c r="J5" s="292"/>
      <c r="K5" s="292"/>
      <c r="L5" s="293"/>
    </row>
    <row r="6" spans="1:12" ht="4.5" customHeight="1" x14ac:dyDescent="0.25">
      <c r="A6" s="319"/>
      <c r="B6" s="320"/>
      <c r="C6" s="320"/>
      <c r="D6" s="320"/>
      <c r="E6" s="320"/>
      <c r="F6" s="320"/>
      <c r="G6" s="320"/>
      <c r="H6" s="320"/>
      <c r="I6" s="320"/>
      <c r="J6" s="320"/>
      <c r="K6" s="320"/>
      <c r="L6" s="321"/>
    </row>
    <row r="7" spans="1:12" ht="15" customHeight="1" x14ac:dyDescent="0.25">
      <c r="A7" s="329" t="s">
        <v>548</v>
      </c>
      <c r="B7" s="330"/>
      <c r="C7" s="166" t="str">
        <f>'Detailed SFPR'!C7</f>
        <v>050765</v>
      </c>
      <c r="D7" s="218" t="s">
        <v>964</v>
      </c>
      <c r="E7" s="331" t="str">
        <f>VLOOKUP(C7,'Summary SFPR_Calc'!$A$5:$B$54,2,FALSE)</f>
        <v>State of Ohio</v>
      </c>
      <c r="F7" s="331"/>
      <c r="G7" s="331"/>
      <c r="H7" s="331"/>
      <c r="I7" s="331"/>
      <c r="J7" s="331"/>
      <c r="K7" s="219" t="s">
        <v>442</v>
      </c>
      <c r="L7" s="167" t="str">
        <f>VLOOKUP(C7,'Summary SFPR_Calc'!$A$5:$D$54,3,FALSE)</f>
        <v>***</v>
      </c>
    </row>
    <row r="8" spans="1:12" s="201" customFormat="1" ht="6.75" customHeight="1" x14ac:dyDescent="0.25">
      <c r="A8" s="332"/>
      <c r="B8" s="333"/>
      <c r="C8" s="333"/>
      <c r="D8" s="333"/>
      <c r="E8" s="333"/>
      <c r="F8" s="333"/>
      <c r="G8" s="333"/>
      <c r="H8" s="333"/>
      <c r="I8" s="333"/>
      <c r="J8" s="333"/>
      <c r="K8" s="333"/>
      <c r="L8" s="334"/>
    </row>
    <row r="9" spans="1:12" s="201" customFormat="1" ht="14.45" customHeight="1" x14ac:dyDescent="0.25">
      <c r="A9" s="325"/>
      <c r="B9" s="326"/>
      <c r="C9" s="326"/>
      <c r="D9" s="326"/>
      <c r="E9" s="326"/>
      <c r="F9" s="327" t="s">
        <v>550</v>
      </c>
      <c r="G9" s="327"/>
      <c r="H9" s="327" t="s">
        <v>551</v>
      </c>
      <c r="I9" s="327"/>
      <c r="J9" s="327"/>
      <c r="K9" s="327" t="s">
        <v>965</v>
      </c>
      <c r="L9" s="328" t="s">
        <v>552</v>
      </c>
    </row>
    <row r="10" spans="1:12" s="201" customFormat="1" ht="14.45" customHeight="1" x14ac:dyDescent="0.25">
      <c r="A10" s="325"/>
      <c r="B10" s="326"/>
      <c r="C10" s="326"/>
      <c r="D10" s="326"/>
      <c r="E10" s="326"/>
      <c r="F10" s="327"/>
      <c r="G10" s="327"/>
      <c r="H10" s="327"/>
      <c r="I10" s="327"/>
      <c r="J10" s="327"/>
      <c r="K10" s="327"/>
      <c r="L10" s="328"/>
    </row>
    <row r="11" spans="1:12" s="201" customFormat="1" ht="14.45" customHeight="1" x14ac:dyDescent="0.25">
      <c r="A11" s="325"/>
      <c r="B11" s="326"/>
      <c r="C11" s="326"/>
      <c r="D11" s="326"/>
      <c r="E11" s="326"/>
      <c r="F11" s="327"/>
      <c r="G11" s="327"/>
      <c r="H11" s="327"/>
      <c r="I11" s="327"/>
      <c r="J11" s="327"/>
      <c r="K11" s="327"/>
      <c r="L11" s="328"/>
    </row>
    <row r="12" spans="1:12" s="201" customFormat="1" ht="14.45" customHeight="1" x14ac:dyDescent="0.25">
      <c r="A12" s="322" t="s">
        <v>553</v>
      </c>
      <c r="B12" s="323"/>
      <c r="C12" s="323"/>
      <c r="D12" s="323"/>
      <c r="E12" s="323"/>
      <c r="F12" s="323"/>
      <c r="G12" s="323"/>
      <c r="H12" s="323"/>
      <c r="I12" s="323"/>
      <c r="J12" s="323"/>
      <c r="K12" s="323"/>
      <c r="L12" s="324"/>
    </row>
    <row r="13" spans="1:12" s="201" customFormat="1" ht="14.45" customHeight="1" x14ac:dyDescent="0.25">
      <c r="A13" s="202" t="s">
        <v>554</v>
      </c>
      <c r="B13" s="303" t="s">
        <v>21</v>
      </c>
      <c r="C13" s="303"/>
      <c r="D13" s="303"/>
      <c r="E13" s="303"/>
      <c r="F13" s="314">
        <f>VLOOKUP(C7,'Summary SFPR_Calc'!$A$5:$M$54,13,FALSE)</f>
        <v>186657251.35999995</v>
      </c>
      <c r="G13" s="314"/>
      <c r="H13" s="314">
        <f>VLOOKUP(C7,'Summary SFPR_Calc'!$A$5:$N$54,14,FALSE)</f>
        <v>361987870.77417874</v>
      </c>
      <c r="I13" s="314"/>
      <c r="J13" s="314"/>
      <c r="K13" s="203">
        <f>VLOOKUP(C7,'Summary SFPR_Calc'!$A$5:$S$54,19,FALSE)</f>
        <v>116892923.96343292</v>
      </c>
      <c r="L13" s="204">
        <f>F13+K13</f>
        <v>303550175.32343286</v>
      </c>
    </row>
    <row r="14" spans="1:12" s="201" customFormat="1" ht="14.45" customHeight="1" x14ac:dyDescent="0.25">
      <c r="A14" s="202" t="s">
        <v>555</v>
      </c>
      <c r="B14" s="303" t="s">
        <v>556</v>
      </c>
      <c r="C14" s="303"/>
      <c r="D14" s="303"/>
      <c r="E14" s="303"/>
      <c r="F14" s="314">
        <f>VLOOKUP(C7,'Summary SFPR_Calc'!$A$5:$L$54,12,FALSE)</f>
        <v>37198419.509999998</v>
      </c>
      <c r="G14" s="314"/>
      <c r="H14" s="314">
        <f>VLOOKUP(C7,'Summary SFPR_Calc'!$A$5:$Q$54,17,FALSE)</f>
        <v>57439692.06995213</v>
      </c>
      <c r="I14" s="314"/>
      <c r="J14" s="314"/>
      <c r="K14" s="203">
        <f>VLOOKUP(C7,'Summary SFPR_Calc'!$A$5:$V$54,22,FALSE)</f>
        <v>13494856.41572009</v>
      </c>
      <c r="L14" s="204">
        <f t="shared" ref="L14:L17" si="0">F14+K14</f>
        <v>50693275.925720088</v>
      </c>
    </row>
    <row r="15" spans="1:12" s="201" customFormat="1" ht="14.45" customHeight="1" x14ac:dyDescent="0.25">
      <c r="A15" s="202" t="s">
        <v>557</v>
      </c>
      <c r="B15" s="303" t="s">
        <v>558</v>
      </c>
      <c r="C15" s="303"/>
      <c r="D15" s="303"/>
      <c r="E15" s="303"/>
      <c r="F15" s="314">
        <f>VLOOKUP(C7,'Summary SFPR_Calc'!$A$5:$I$54,9,FALSE)</f>
        <v>6278621.8099999987</v>
      </c>
      <c r="G15" s="314"/>
      <c r="H15" s="314">
        <f>VLOOKUP(C7,'Summary SFPR_Calc'!$A$5:$O$54,15,FALSE)</f>
        <v>12995815.060000001</v>
      </c>
      <c r="I15" s="314"/>
      <c r="J15" s="314"/>
      <c r="K15" s="205">
        <f>VLOOKUP(C7,'Summary SFPR_Calc'!$A$5:$T$54,20,FALSE)</f>
        <v>4478352.7397750001</v>
      </c>
      <c r="L15" s="204">
        <f t="shared" si="0"/>
        <v>10756974.549774999</v>
      </c>
    </row>
    <row r="16" spans="1:12" s="201" customFormat="1" ht="14.45" customHeight="1" x14ac:dyDescent="0.25">
      <c r="A16" s="202" t="s">
        <v>559</v>
      </c>
      <c r="B16" s="303" t="s">
        <v>560</v>
      </c>
      <c r="C16" s="303"/>
      <c r="D16" s="303"/>
      <c r="E16" s="303"/>
      <c r="F16" s="314">
        <f>VLOOKUP(C7,'Summary SFPR_Calc'!$A$5:$K$54,11,FALSE)</f>
        <v>108614.82</v>
      </c>
      <c r="G16" s="314"/>
      <c r="H16" s="314">
        <f>VLOOKUP(C7,'Summary SFPR_Calc'!$A$5:$P$54,16,FALSE)</f>
        <v>421419.40042697708</v>
      </c>
      <c r="I16" s="314"/>
      <c r="J16" s="314"/>
      <c r="K16" s="205">
        <f>VLOOKUP(C7,'Summary SFPR_Calc'!$A$5:$U$54,21,FALSE)</f>
        <v>208546.8137706655</v>
      </c>
      <c r="L16" s="204">
        <f t="shared" si="0"/>
        <v>317161.6337706655</v>
      </c>
    </row>
    <row r="17" spans="1:14" s="201" customFormat="1" ht="14.45" customHeight="1" x14ac:dyDescent="0.25">
      <c r="A17" s="202" t="s">
        <v>561</v>
      </c>
      <c r="B17" s="303" t="s">
        <v>562</v>
      </c>
      <c r="C17" s="303"/>
      <c r="D17" s="303"/>
      <c r="E17" s="303"/>
      <c r="F17" s="315">
        <f>VLOOKUP(C7,'Summary SFPR_Calc'!$A$5:$H$54,8,FALSE)</f>
        <v>93335590.860000014</v>
      </c>
      <c r="G17" s="315"/>
      <c r="H17" s="315">
        <f>VLOOKUP(C7,'Summary SFPR_Calc'!$A$5:$R$54,18,FALSE)</f>
        <v>135188616.0602054</v>
      </c>
      <c r="I17" s="315"/>
      <c r="J17" s="315"/>
      <c r="K17" s="205">
        <f>VLOOKUP(C7,'Summary SFPR_Calc'!$A$5:$W$54,23,FALSE)</f>
        <v>27903411.900976926</v>
      </c>
      <c r="L17" s="204">
        <f t="shared" si="0"/>
        <v>121239002.76097694</v>
      </c>
    </row>
    <row r="18" spans="1:14" s="201" customFormat="1" ht="3" customHeight="1" x14ac:dyDescent="0.25">
      <c r="A18" s="306"/>
      <c r="B18" s="305"/>
      <c r="C18" s="305"/>
      <c r="D18" s="305"/>
      <c r="E18" s="305"/>
      <c r="F18" s="305"/>
      <c r="G18" s="305"/>
      <c r="H18" s="305"/>
      <c r="I18" s="305"/>
      <c r="J18" s="305"/>
      <c r="K18" s="305"/>
      <c r="L18" s="307"/>
    </row>
    <row r="19" spans="1:14" s="201" customFormat="1" ht="14.45" customHeight="1" x14ac:dyDescent="0.25">
      <c r="A19" s="202" t="s">
        <v>563</v>
      </c>
      <c r="B19" s="303" t="s">
        <v>564</v>
      </c>
      <c r="C19" s="303"/>
      <c r="D19" s="303"/>
      <c r="E19" s="303"/>
      <c r="F19" s="315">
        <f>SUM(F13:G17)</f>
        <v>323578498.35999995</v>
      </c>
      <c r="G19" s="315"/>
      <c r="H19" s="315">
        <f>SUM(H13:J17)</f>
        <v>568033413.36476326</v>
      </c>
      <c r="I19" s="315"/>
      <c r="J19" s="315"/>
      <c r="K19" s="207">
        <f>SUM(K13:K17)</f>
        <v>162978091.83367559</v>
      </c>
      <c r="L19" s="204">
        <f>SUM(L13:L17)</f>
        <v>486556590.19367552</v>
      </c>
    </row>
    <row r="20" spans="1:14" s="201" customFormat="1" ht="3.75" customHeight="1" x14ac:dyDescent="0.25">
      <c r="A20" s="306"/>
      <c r="B20" s="305"/>
      <c r="C20" s="305"/>
      <c r="D20" s="305"/>
      <c r="E20" s="305"/>
      <c r="F20" s="305"/>
      <c r="G20" s="305"/>
      <c r="H20" s="305"/>
      <c r="I20" s="305"/>
      <c r="J20" s="305"/>
      <c r="K20" s="305"/>
      <c r="L20" s="307"/>
    </row>
    <row r="21" spans="1:14" s="201" customFormat="1" ht="14.45" customHeight="1" x14ac:dyDescent="0.25">
      <c r="A21" s="202" t="s">
        <v>565</v>
      </c>
      <c r="B21" s="303" t="s">
        <v>566</v>
      </c>
      <c r="C21" s="303"/>
      <c r="D21" s="303"/>
      <c r="E21" s="303"/>
      <c r="F21" s="303"/>
      <c r="G21" s="303"/>
      <c r="H21" s="303"/>
      <c r="I21" s="303"/>
      <c r="J21" s="303"/>
      <c r="K21" s="303"/>
      <c r="L21" s="204">
        <f>VLOOKUP(C7,'Summary SFPR_Calc'!$A$5:$Z$54,26,FALSE)</f>
        <v>0</v>
      </c>
    </row>
    <row r="22" spans="1:14" s="201" customFormat="1" ht="14.45" customHeight="1" x14ac:dyDescent="0.25">
      <c r="A22" s="202" t="s">
        <v>567</v>
      </c>
      <c r="B22" s="303" t="s">
        <v>568</v>
      </c>
      <c r="C22" s="303"/>
      <c r="D22" s="303"/>
      <c r="E22" s="303"/>
      <c r="F22" s="303"/>
      <c r="G22" s="303"/>
      <c r="H22" s="303"/>
      <c r="I22" s="303"/>
      <c r="J22" s="303"/>
      <c r="K22" s="303"/>
      <c r="L22" s="204">
        <f>VLOOKUP(C7,'Summary SFPR_Calc'!$A$5:$AD$54,30,FALSE)</f>
        <v>36230.133936249418</v>
      </c>
    </row>
    <row r="23" spans="1:14" s="201" customFormat="1" ht="3.75" customHeight="1" x14ac:dyDescent="0.25">
      <c r="A23" s="308"/>
      <c r="B23" s="303"/>
      <c r="C23" s="303"/>
      <c r="D23" s="303"/>
      <c r="E23" s="303"/>
      <c r="F23" s="303"/>
      <c r="G23" s="303"/>
      <c r="H23" s="303"/>
      <c r="I23" s="303"/>
      <c r="J23" s="303"/>
      <c r="K23" s="303"/>
      <c r="L23" s="309"/>
    </row>
    <row r="24" spans="1:14" s="201" customFormat="1" ht="14.45" customHeight="1" x14ac:dyDescent="0.25">
      <c r="A24" s="208" t="s">
        <v>569</v>
      </c>
      <c r="B24" s="310" t="s">
        <v>570</v>
      </c>
      <c r="C24" s="310"/>
      <c r="D24" s="310"/>
      <c r="E24" s="310"/>
      <c r="F24" s="310"/>
      <c r="G24" s="310"/>
      <c r="H24" s="310"/>
      <c r="I24" s="310"/>
      <c r="J24" s="310"/>
      <c r="K24" s="310"/>
      <c r="L24" s="209">
        <f>VLOOKUP(C7,'Summary SFPR_Calc'!$A$5:$AE$54,31,FALSE)</f>
        <v>486592820.32761204</v>
      </c>
      <c r="N24" s="210"/>
    </row>
    <row r="25" spans="1:14" s="201" customFormat="1" ht="3" customHeight="1" x14ac:dyDescent="0.25">
      <c r="A25" s="311"/>
      <c r="B25" s="312"/>
      <c r="C25" s="312"/>
      <c r="D25" s="312"/>
      <c r="E25" s="312"/>
      <c r="F25" s="312"/>
      <c r="G25" s="312"/>
      <c r="H25" s="312"/>
      <c r="I25" s="312"/>
      <c r="J25" s="312"/>
      <c r="K25" s="312"/>
      <c r="L25" s="313"/>
    </row>
    <row r="26" spans="1:14" s="201" customFormat="1" ht="4.5" customHeight="1" x14ac:dyDescent="0.25">
      <c r="A26" s="306"/>
      <c r="B26" s="305"/>
      <c r="C26" s="305"/>
      <c r="D26" s="305"/>
      <c r="E26" s="305"/>
      <c r="F26" s="305"/>
      <c r="G26" s="305"/>
      <c r="H26" s="305"/>
      <c r="I26" s="305"/>
      <c r="J26" s="305"/>
      <c r="K26" s="305"/>
      <c r="L26" s="307"/>
    </row>
    <row r="27" spans="1:14" s="201" customFormat="1" ht="14.45" customHeight="1" x14ac:dyDescent="0.25">
      <c r="A27" s="298" t="s">
        <v>576</v>
      </c>
      <c r="B27" s="299"/>
      <c r="C27" s="299"/>
      <c r="D27" s="299"/>
      <c r="E27" s="299"/>
      <c r="F27" s="299"/>
      <c r="G27" s="299"/>
      <c r="H27" s="299"/>
      <c r="I27" s="299"/>
      <c r="J27" s="299"/>
      <c r="K27" s="299"/>
      <c r="L27" s="300"/>
    </row>
    <row r="28" spans="1:14" s="201" customFormat="1" ht="14.45" customHeight="1" x14ac:dyDescent="0.25">
      <c r="A28" s="301" t="s">
        <v>577</v>
      </c>
      <c r="B28" s="302"/>
      <c r="C28" s="302"/>
      <c r="D28" s="302"/>
      <c r="E28" s="302"/>
      <c r="F28" s="302"/>
      <c r="G28" s="302"/>
      <c r="H28" s="302"/>
      <c r="I28" s="302"/>
      <c r="J28" s="302"/>
      <c r="K28" s="302"/>
      <c r="L28" s="204">
        <f>VLOOKUP(C7,'Summary SFPR_Calc'!$A$5:$AV$54,48,FALSE)</f>
        <v>10536343.489999998</v>
      </c>
    </row>
    <row r="29" spans="1:14" s="201" customFormat="1" ht="14.45" customHeight="1" x14ac:dyDescent="0.25">
      <c r="A29" s="211"/>
      <c r="B29" s="303" t="s">
        <v>578</v>
      </c>
      <c r="C29" s="303"/>
      <c r="D29" s="303"/>
      <c r="E29" s="303"/>
      <c r="F29" s="303"/>
      <c r="G29" s="303"/>
      <c r="H29" s="303"/>
      <c r="I29" s="303"/>
      <c r="J29" s="303"/>
      <c r="K29" s="303"/>
      <c r="L29" s="212"/>
    </row>
    <row r="30" spans="1:14" s="201" customFormat="1" ht="14.45" customHeight="1" thickBot="1" x14ac:dyDescent="0.3">
      <c r="A30" s="213"/>
      <c r="B30" s="304" t="s">
        <v>988</v>
      </c>
      <c r="C30" s="304"/>
      <c r="D30" s="304"/>
      <c r="E30" s="304"/>
      <c r="F30" s="304"/>
      <c r="G30" s="304"/>
      <c r="H30" s="304"/>
      <c r="I30" s="304"/>
      <c r="J30" s="304"/>
      <c r="K30" s="304"/>
      <c r="L30" s="214"/>
    </row>
    <row r="31" spans="1:14" s="201" customFormat="1" ht="6.75" customHeight="1" x14ac:dyDescent="0.25">
      <c r="A31" s="206"/>
      <c r="B31" s="305"/>
      <c r="C31" s="305"/>
      <c r="D31" s="305"/>
      <c r="E31" s="305"/>
      <c r="F31" s="305"/>
      <c r="G31" s="305"/>
      <c r="H31" s="305"/>
      <c r="I31" s="305"/>
      <c r="J31" s="305"/>
      <c r="K31" s="305"/>
      <c r="L31" s="215"/>
    </row>
    <row r="32" spans="1:14" s="201" customFormat="1" ht="14.45" customHeight="1" x14ac:dyDescent="0.25">
      <c r="A32" s="297"/>
      <c r="B32" s="297"/>
      <c r="C32" s="297"/>
      <c r="D32" s="297"/>
      <c r="E32" s="297"/>
      <c r="F32" s="297"/>
      <c r="G32" s="297"/>
      <c r="H32" s="297"/>
      <c r="I32" s="297"/>
      <c r="J32" s="297"/>
      <c r="K32" s="297"/>
      <c r="L32" s="215"/>
      <c r="N32" s="216"/>
    </row>
    <row r="33" spans="1:14" s="201" customFormat="1" ht="14.45" customHeight="1" x14ac:dyDescent="0.25">
      <c r="A33" s="206"/>
      <c r="B33" s="297"/>
      <c r="C33" s="297"/>
      <c r="D33" s="297"/>
      <c r="E33" s="297"/>
      <c r="F33" s="297"/>
      <c r="G33" s="297"/>
      <c r="H33" s="297"/>
      <c r="I33" s="297"/>
      <c r="J33" s="297"/>
      <c r="K33" s="297"/>
      <c r="L33" s="203"/>
      <c r="N33" s="217"/>
    </row>
  </sheetData>
  <sheetProtection algorithmName="SHA-512" hashValue="tpskfVr4gbwMFM3W1DVGK0jR3sTJCmDu1jEilcpI7JWNgPgSwH8Yp4qUXwliASHJP1woWO1GawclmFa1AjmBSg==" saltValue="i2vy07Jka5/OQhJGNrupVQ==" spinCount="100000" sheet="1" objects="1" scenarios="1"/>
  <mergeCells count="48">
    <mergeCell ref="A6:L6"/>
    <mergeCell ref="B22:K22"/>
    <mergeCell ref="A12:L12"/>
    <mergeCell ref="A9:E11"/>
    <mergeCell ref="F9:G11"/>
    <mergeCell ref="H9:J11"/>
    <mergeCell ref="K9:K11"/>
    <mergeCell ref="L9:L11"/>
    <mergeCell ref="A7:B7"/>
    <mergeCell ref="E7:J7"/>
    <mergeCell ref="A8:L8"/>
    <mergeCell ref="B13:E13"/>
    <mergeCell ref="F13:G13"/>
    <mergeCell ref="H13:J13"/>
    <mergeCell ref="B14:E14"/>
    <mergeCell ref="F14:G14"/>
    <mergeCell ref="A1:L1"/>
    <mergeCell ref="A2:L2"/>
    <mergeCell ref="A3:L3"/>
    <mergeCell ref="A4:L4"/>
    <mergeCell ref="A5:L5"/>
    <mergeCell ref="H14:J14"/>
    <mergeCell ref="B15:E15"/>
    <mergeCell ref="F15:G15"/>
    <mergeCell ref="H15:J15"/>
    <mergeCell ref="B21:K21"/>
    <mergeCell ref="B16:E16"/>
    <mergeCell ref="F16:G16"/>
    <mergeCell ref="H16:J16"/>
    <mergeCell ref="B17:E17"/>
    <mergeCell ref="F17:G17"/>
    <mergeCell ref="H17:J17"/>
    <mergeCell ref="A18:L18"/>
    <mergeCell ref="B19:E19"/>
    <mergeCell ref="F19:G19"/>
    <mergeCell ref="H19:J19"/>
    <mergeCell ref="A20:L20"/>
    <mergeCell ref="A26:L26"/>
    <mergeCell ref="A23:L23"/>
    <mergeCell ref="B24:K24"/>
    <mergeCell ref="A25:L25"/>
    <mergeCell ref="A32:K32"/>
    <mergeCell ref="B33:K33"/>
    <mergeCell ref="A27:L27"/>
    <mergeCell ref="A28:K28"/>
    <mergeCell ref="B29:K29"/>
    <mergeCell ref="B30:K30"/>
    <mergeCell ref="B31:K31"/>
  </mergeCells>
  <pageMargins left="0.25" right="0.25" top="0" bottom="0" header="0" footer="0"/>
  <pageSetup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FED13-F5AF-45CA-8714-187D6631B4C0}">
  <sheetPr>
    <tabColor theme="4" tint="0.79998168889431442"/>
  </sheetPr>
  <dimension ref="A1:Y59"/>
  <sheetViews>
    <sheetView workbookViewId="0">
      <pane xSplit="3" ySplit="1" topLeftCell="D2" activePane="bottomRight" state="frozen"/>
      <selection pane="topRight" activeCell="D1" sqref="D1"/>
      <selection pane="bottomLeft" activeCell="A3" sqref="A3"/>
      <selection pane="bottomRight"/>
    </sheetView>
  </sheetViews>
  <sheetFormatPr defaultColWidth="9.140625" defaultRowHeight="15" x14ac:dyDescent="0.25"/>
  <cols>
    <col min="1" max="1" width="8.140625" style="230" customWidth="1"/>
    <col min="2" max="2" width="46" style="230" bestFit="1" customWidth="1"/>
    <col min="3" max="3" width="13.140625" style="230" bestFit="1" customWidth="1"/>
    <col min="4" max="4" width="11" style="231" customWidth="1"/>
    <col min="5" max="5" width="14.5703125" style="230" customWidth="1"/>
    <col min="6" max="6" width="13" style="230" customWidth="1"/>
    <col min="7" max="7" width="15.7109375" style="230" customWidth="1"/>
    <col min="8" max="8" width="11.85546875" style="230" customWidth="1"/>
    <col min="9" max="9" width="11.28515625" style="230" customWidth="1"/>
    <col min="10" max="10" width="12.140625" style="230" customWidth="1"/>
    <col min="11" max="11" width="14.140625" style="230" customWidth="1"/>
    <col min="12" max="12" width="13" style="230" customWidth="1"/>
    <col min="13" max="13" width="12.42578125" style="230" customWidth="1"/>
    <col min="14" max="14" width="11.85546875" style="230" customWidth="1"/>
    <col min="15" max="15" width="13.28515625" style="230" customWidth="1"/>
    <col min="16" max="16" width="10.7109375" style="230" customWidth="1"/>
    <col min="17" max="17" width="11.28515625" style="230" customWidth="1"/>
    <col min="18" max="18" width="11.140625" style="230" customWidth="1"/>
    <col min="19" max="19" width="11.42578125" style="230" customWidth="1"/>
    <col min="20" max="20" width="10.140625" style="230" customWidth="1"/>
    <col min="21" max="21" width="13.42578125" style="230" customWidth="1"/>
    <col min="22" max="22" width="19.5703125" style="230" customWidth="1"/>
    <col min="23" max="23" width="14" style="230" customWidth="1"/>
    <col min="24" max="24" width="12.85546875" style="230" customWidth="1"/>
    <col min="25" max="25" width="10.42578125" style="230" customWidth="1"/>
    <col min="26" max="16384" width="9.140625" style="230"/>
  </cols>
  <sheetData>
    <row r="1" spans="1:25" s="229" customFormat="1" ht="57" customHeight="1" x14ac:dyDescent="0.25">
      <c r="A1" s="227" t="s">
        <v>970</v>
      </c>
      <c r="B1" s="227" t="s">
        <v>968</v>
      </c>
      <c r="C1" s="227" t="s">
        <v>969</v>
      </c>
      <c r="D1" s="227" t="s">
        <v>958</v>
      </c>
      <c r="E1" s="227" t="s">
        <v>973</v>
      </c>
      <c r="F1" s="227" t="s">
        <v>974</v>
      </c>
      <c r="G1" s="227" t="s">
        <v>975</v>
      </c>
      <c r="H1" s="227" t="s">
        <v>976</v>
      </c>
      <c r="I1" s="227" t="s">
        <v>977</v>
      </c>
      <c r="J1" s="227" t="s">
        <v>978</v>
      </c>
      <c r="K1" s="227" t="s">
        <v>979</v>
      </c>
      <c r="L1" s="227" t="s">
        <v>980</v>
      </c>
      <c r="M1" s="227" t="s">
        <v>982</v>
      </c>
      <c r="N1" s="227" t="s">
        <v>983</v>
      </c>
      <c r="O1" s="227" t="s">
        <v>981</v>
      </c>
      <c r="P1" s="227" t="s">
        <v>984</v>
      </c>
      <c r="Q1" s="227" t="s">
        <v>985</v>
      </c>
      <c r="R1" s="227" t="s">
        <v>986</v>
      </c>
      <c r="S1" s="227" t="s">
        <v>987</v>
      </c>
      <c r="T1" s="227" t="s">
        <v>310</v>
      </c>
      <c r="U1" s="228" t="s">
        <v>989</v>
      </c>
      <c r="V1" s="228" t="s">
        <v>97</v>
      </c>
      <c r="W1" s="228" t="s">
        <v>98</v>
      </c>
      <c r="X1" s="228" t="s">
        <v>99</v>
      </c>
      <c r="Y1" s="228" t="s">
        <v>100</v>
      </c>
    </row>
    <row r="2" spans="1:25" x14ac:dyDescent="0.25">
      <c r="A2" s="230" t="s">
        <v>101</v>
      </c>
      <c r="B2" s="230" t="s">
        <v>102</v>
      </c>
      <c r="C2" s="230" t="s">
        <v>202</v>
      </c>
      <c r="D2" s="233">
        <v>1042.3432290000001</v>
      </c>
      <c r="E2" s="233">
        <v>0</v>
      </c>
      <c r="F2" s="233">
        <v>152.59335799999999</v>
      </c>
      <c r="G2" s="233">
        <v>6.4986069999999998</v>
      </c>
      <c r="H2" s="233">
        <v>1</v>
      </c>
      <c r="I2" s="233">
        <v>2.42</v>
      </c>
      <c r="J2" s="233">
        <v>16.889258999999999</v>
      </c>
      <c r="K2" s="233">
        <v>397.75216999999998</v>
      </c>
      <c r="L2" s="233">
        <v>0</v>
      </c>
      <c r="M2" s="233">
        <v>1</v>
      </c>
      <c r="N2" s="233">
        <v>0</v>
      </c>
      <c r="O2" s="233">
        <v>352.65522399999998</v>
      </c>
      <c r="P2" s="233">
        <v>119.060974</v>
      </c>
      <c r="Q2" s="233">
        <v>20.519238999999999</v>
      </c>
      <c r="R2" s="233">
        <v>327.47229299999998</v>
      </c>
      <c r="S2" s="233">
        <v>26.301631</v>
      </c>
      <c r="T2" s="256">
        <v>1</v>
      </c>
      <c r="U2" s="231">
        <v>1042.3432290000001</v>
      </c>
      <c r="V2" s="255">
        <v>836.556375</v>
      </c>
      <c r="W2" s="255">
        <v>12.571892999999999</v>
      </c>
      <c r="X2" s="255">
        <v>193.21496099999999</v>
      </c>
      <c r="Y2" s="255">
        <v>1020.0880560000001</v>
      </c>
    </row>
    <row r="3" spans="1:25" x14ac:dyDescent="0.25">
      <c r="A3" s="230" t="s">
        <v>181</v>
      </c>
      <c r="B3" s="230" t="s">
        <v>182</v>
      </c>
      <c r="C3" s="230" t="s">
        <v>241</v>
      </c>
      <c r="D3" s="233">
        <v>519.65214400000002</v>
      </c>
      <c r="E3" s="233">
        <v>0.14000000000000001</v>
      </c>
      <c r="F3" s="233">
        <v>85.254272999999998</v>
      </c>
      <c r="G3" s="233">
        <v>3.1686049999999999</v>
      </c>
      <c r="H3" s="233">
        <v>0</v>
      </c>
      <c r="I3" s="233">
        <v>2.2799999999999998</v>
      </c>
      <c r="J3" s="233">
        <v>3.682712</v>
      </c>
      <c r="K3" s="233">
        <v>150.362211</v>
      </c>
      <c r="L3" s="233">
        <v>0</v>
      </c>
      <c r="M3" s="233">
        <v>0</v>
      </c>
      <c r="N3" s="233">
        <v>0</v>
      </c>
      <c r="O3" s="233">
        <v>147.32547700000001</v>
      </c>
      <c r="P3" s="233">
        <v>70.921965999999998</v>
      </c>
      <c r="Q3" s="233">
        <v>7.5808020000000003</v>
      </c>
      <c r="R3" s="233">
        <v>143.82719499999999</v>
      </c>
      <c r="S3" s="233">
        <v>0</v>
      </c>
      <c r="T3" s="256">
        <v>1</v>
      </c>
      <c r="U3" s="231">
        <v>519.65214400000002</v>
      </c>
      <c r="V3" s="255">
        <v>368.68884400000002</v>
      </c>
      <c r="W3" s="255">
        <v>5.6674499999999997</v>
      </c>
      <c r="X3" s="255">
        <v>145.29585</v>
      </c>
      <c r="Y3" s="255">
        <v>508.48355700000002</v>
      </c>
    </row>
    <row r="4" spans="1:25" x14ac:dyDescent="0.25">
      <c r="A4" s="230" t="s">
        <v>105</v>
      </c>
      <c r="B4" s="230" t="s">
        <v>106</v>
      </c>
      <c r="C4" s="230" t="s">
        <v>204</v>
      </c>
      <c r="D4" s="233">
        <v>719.19131100000004</v>
      </c>
      <c r="E4" s="233">
        <v>4.4516E-2</v>
      </c>
      <c r="F4" s="233">
        <v>131.73708400000001</v>
      </c>
      <c r="G4" s="233">
        <v>17.773965</v>
      </c>
      <c r="H4" s="233">
        <v>0</v>
      </c>
      <c r="I4" s="233">
        <v>1.2032369999999999</v>
      </c>
      <c r="J4" s="233">
        <v>22.177735999999999</v>
      </c>
      <c r="K4" s="233">
        <v>438.64627899999999</v>
      </c>
      <c r="L4" s="233">
        <v>0</v>
      </c>
      <c r="M4" s="233">
        <v>0</v>
      </c>
      <c r="N4" s="233">
        <v>2.3237000000000001E-2</v>
      </c>
      <c r="O4" s="233">
        <v>231.584318</v>
      </c>
      <c r="P4" s="233">
        <v>85.597744000000006</v>
      </c>
      <c r="Q4" s="233">
        <v>0</v>
      </c>
      <c r="R4" s="233">
        <v>220.37903299999999</v>
      </c>
      <c r="S4" s="233">
        <v>0</v>
      </c>
      <c r="T4" s="256">
        <v>1</v>
      </c>
      <c r="U4" s="231">
        <v>719.19131100000004</v>
      </c>
      <c r="V4" s="255">
        <v>535.60845500000005</v>
      </c>
      <c r="W4" s="255">
        <v>23.631899000000001</v>
      </c>
      <c r="X4" s="255">
        <v>159.95095699999999</v>
      </c>
      <c r="Y4" s="255">
        <v>677.293004</v>
      </c>
    </row>
    <row r="5" spans="1:25" x14ac:dyDescent="0.25">
      <c r="A5" s="230" t="s">
        <v>133</v>
      </c>
      <c r="B5" s="230" t="s">
        <v>134</v>
      </c>
      <c r="C5" s="230" t="s">
        <v>217</v>
      </c>
      <c r="D5" s="233">
        <v>432.61144100000001</v>
      </c>
      <c r="E5" s="233">
        <v>0</v>
      </c>
      <c r="F5" s="233">
        <v>57.783707999999997</v>
      </c>
      <c r="G5" s="233">
        <v>4.6938199999999997</v>
      </c>
      <c r="H5" s="233">
        <v>1.5842700000000001</v>
      </c>
      <c r="I5" s="233">
        <v>0</v>
      </c>
      <c r="J5" s="233">
        <v>4.1629209999999999</v>
      </c>
      <c r="K5" s="233">
        <v>82.774570999999995</v>
      </c>
      <c r="L5" s="233">
        <v>0</v>
      </c>
      <c r="M5" s="233">
        <v>0</v>
      </c>
      <c r="N5" s="233">
        <v>0.5</v>
      </c>
      <c r="O5" s="233">
        <v>263.89175799999998</v>
      </c>
      <c r="P5" s="233">
        <v>149.94344699999999</v>
      </c>
      <c r="Q5" s="233">
        <v>0</v>
      </c>
      <c r="R5" s="233">
        <v>12.947435</v>
      </c>
      <c r="S5" s="233">
        <v>0</v>
      </c>
      <c r="T5" s="256">
        <v>1</v>
      </c>
      <c r="U5" s="231">
        <v>432.61144100000001</v>
      </c>
      <c r="V5" s="255">
        <v>419.086253</v>
      </c>
      <c r="W5" s="255">
        <v>0</v>
      </c>
      <c r="X5" s="255">
        <v>13.525188</v>
      </c>
      <c r="Y5" s="255">
        <v>432.61144100000001</v>
      </c>
    </row>
    <row r="6" spans="1:25" x14ac:dyDescent="0.25">
      <c r="A6" s="230" t="s">
        <v>107</v>
      </c>
      <c r="B6" s="230" t="s">
        <v>108</v>
      </c>
      <c r="C6" s="230" t="s">
        <v>205</v>
      </c>
      <c r="D6" s="233">
        <v>503.60129699999999</v>
      </c>
      <c r="E6" s="233">
        <v>0.159191</v>
      </c>
      <c r="F6" s="233">
        <v>136.17039199999999</v>
      </c>
      <c r="G6" s="233">
        <v>3.5150169999999998</v>
      </c>
      <c r="H6" s="233">
        <v>0</v>
      </c>
      <c r="I6" s="233">
        <v>2.0291920000000001</v>
      </c>
      <c r="J6" s="233">
        <v>5.0494240000000001</v>
      </c>
      <c r="K6" s="233">
        <v>273.372276</v>
      </c>
      <c r="L6" s="233">
        <v>0.12775400000000001</v>
      </c>
      <c r="M6" s="233">
        <v>2.0870959999999998</v>
      </c>
      <c r="N6" s="233">
        <v>5.8383999999999998E-2</v>
      </c>
      <c r="O6" s="233">
        <v>193.302853</v>
      </c>
      <c r="P6" s="233">
        <v>77.167164</v>
      </c>
      <c r="Q6" s="233">
        <v>0</v>
      </c>
      <c r="R6" s="233">
        <v>175.557852</v>
      </c>
      <c r="S6" s="233">
        <v>0</v>
      </c>
      <c r="T6" s="256">
        <v>2</v>
      </c>
      <c r="U6" s="231">
        <v>503.60129699999999</v>
      </c>
      <c r="V6" s="255">
        <v>444.96661</v>
      </c>
      <c r="W6" s="255">
        <v>5.6415389999999999</v>
      </c>
      <c r="X6" s="255">
        <v>52.993147999999998</v>
      </c>
      <c r="Y6" s="255">
        <v>482.23393800000002</v>
      </c>
    </row>
    <row r="7" spans="1:25" x14ac:dyDescent="0.25">
      <c r="A7" s="230" t="s">
        <v>171</v>
      </c>
      <c r="B7" s="230" t="s">
        <v>172</v>
      </c>
      <c r="C7" s="230" t="s">
        <v>236</v>
      </c>
      <c r="D7" s="233">
        <v>954.89631999999995</v>
      </c>
      <c r="E7" s="233">
        <v>0</v>
      </c>
      <c r="F7" s="233">
        <v>177.99086199999999</v>
      </c>
      <c r="G7" s="233">
        <v>5.8120750000000001</v>
      </c>
      <c r="H7" s="233">
        <v>0.12</v>
      </c>
      <c r="I7" s="233">
        <v>8.9664800000000007</v>
      </c>
      <c r="J7" s="233">
        <v>13.862983</v>
      </c>
      <c r="K7" s="233">
        <v>385.14433000000002</v>
      </c>
      <c r="L7" s="233">
        <v>0</v>
      </c>
      <c r="M7" s="233">
        <v>18.217877000000001</v>
      </c>
      <c r="N7" s="233">
        <v>0</v>
      </c>
      <c r="O7" s="233">
        <v>309.40008</v>
      </c>
      <c r="P7" s="233">
        <v>118.976955</v>
      </c>
      <c r="Q7" s="233">
        <v>12.244342</v>
      </c>
      <c r="R7" s="233">
        <v>254.929609</v>
      </c>
      <c r="S7" s="233">
        <v>7.6697610000000003</v>
      </c>
      <c r="T7" s="256">
        <v>2</v>
      </c>
      <c r="U7" s="231">
        <v>954.89631999999995</v>
      </c>
      <c r="V7" s="255">
        <v>701.95309299999997</v>
      </c>
      <c r="W7" s="255">
        <v>3.8365809999999998</v>
      </c>
      <c r="X7" s="255">
        <v>249.10664600000001</v>
      </c>
      <c r="Y7" s="255">
        <v>946.83580400000005</v>
      </c>
    </row>
    <row r="8" spans="1:25" x14ac:dyDescent="0.25">
      <c r="A8" s="230" t="s">
        <v>109</v>
      </c>
      <c r="B8" s="230" t="s">
        <v>110</v>
      </c>
      <c r="C8" s="230" t="s">
        <v>206</v>
      </c>
      <c r="D8" s="233">
        <v>3907.6085269999999</v>
      </c>
      <c r="E8" s="233">
        <v>5.367057</v>
      </c>
      <c r="F8" s="233">
        <v>416.66981299999998</v>
      </c>
      <c r="G8" s="233">
        <v>17.745891</v>
      </c>
      <c r="H8" s="233">
        <v>1.4258409999999999</v>
      </c>
      <c r="I8" s="233">
        <v>21.955962</v>
      </c>
      <c r="J8" s="233">
        <v>60.115752999999998</v>
      </c>
      <c r="K8" s="233">
        <v>1754.3982639999999</v>
      </c>
      <c r="L8" s="233">
        <v>7.5684180000000003</v>
      </c>
      <c r="M8" s="233">
        <v>131.72987800000001</v>
      </c>
      <c r="N8" s="233">
        <v>12.051529</v>
      </c>
      <c r="O8" s="233">
        <v>1186.3116889999999</v>
      </c>
      <c r="P8" s="233">
        <v>729.54966000000002</v>
      </c>
      <c r="Q8" s="233">
        <v>65.255688000000006</v>
      </c>
      <c r="R8" s="233">
        <v>646.63277700000003</v>
      </c>
      <c r="S8" s="233">
        <v>163.12199000000001</v>
      </c>
      <c r="T8" s="256">
        <v>4</v>
      </c>
      <c r="U8" s="231">
        <v>3907.6085269999999</v>
      </c>
      <c r="V8" s="255">
        <v>2733.671366</v>
      </c>
      <c r="W8" s="255">
        <v>256.81473099999999</v>
      </c>
      <c r="X8" s="255">
        <v>917.12243000000001</v>
      </c>
      <c r="Y8" s="255">
        <v>3481.1138999999998</v>
      </c>
    </row>
    <row r="9" spans="1:25" x14ac:dyDescent="0.25">
      <c r="A9" s="230" t="s">
        <v>137</v>
      </c>
      <c r="B9" s="230" t="s">
        <v>138</v>
      </c>
      <c r="C9" s="230" t="s">
        <v>219</v>
      </c>
      <c r="D9" s="233">
        <v>1066.857195</v>
      </c>
      <c r="E9" s="233">
        <v>3.625909</v>
      </c>
      <c r="F9" s="233">
        <v>145.811013</v>
      </c>
      <c r="G9" s="233">
        <v>5.6069719999999998</v>
      </c>
      <c r="H9" s="233">
        <v>0</v>
      </c>
      <c r="I9" s="233">
        <v>3.019873</v>
      </c>
      <c r="J9" s="233">
        <v>22.300763</v>
      </c>
      <c r="K9" s="233">
        <v>373.01628699999998</v>
      </c>
      <c r="L9" s="233">
        <v>0</v>
      </c>
      <c r="M9" s="233">
        <v>13.127901</v>
      </c>
      <c r="N9" s="233">
        <v>2.5499999999999998</v>
      </c>
      <c r="O9" s="233">
        <v>348.09093899999999</v>
      </c>
      <c r="P9" s="233">
        <v>118.06462399999999</v>
      </c>
      <c r="Q9" s="233">
        <v>0</v>
      </c>
      <c r="R9" s="233">
        <v>351.82780000000002</v>
      </c>
      <c r="S9" s="233">
        <v>0</v>
      </c>
      <c r="T9" s="256">
        <v>1</v>
      </c>
      <c r="U9" s="231">
        <v>1066.857195</v>
      </c>
      <c r="V9" s="255">
        <v>814.56641300000001</v>
      </c>
      <c r="W9" s="255">
        <v>61.920318999999999</v>
      </c>
      <c r="X9" s="255">
        <v>190.370463</v>
      </c>
      <c r="Y9" s="255">
        <v>939.03880100000003</v>
      </c>
    </row>
    <row r="10" spans="1:25" x14ac:dyDescent="0.25">
      <c r="A10" s="230" t="s">
        <v>111</v>
      </c>
      <c r="B10" s="230" t="s">
        <v>112</v>
      </c>
      <c r="C10" s="230" t="s">
        <v>207</v>
      </c>
      <c r="D10" s="233">
        <v>314.68025599999999</v>
      </c>
      <c r="E10" s="233">
        <v>0</v>
      </c>
      <c r="F10" s="233">
        <v>45.866478000000001</v>
      </c>
      <c r="G10" s="233">
        <v>2.1903410000000001</v>
      </c>
      <c r="H10" s="233">
        <v>0</v>
      </c>
      <c r="I10" s="233">
        <v>1.5</v>
      </c>
      <c r="J10" s="233">
        <v>4.5</v>
      </c>
      <c r="K10" s="233">
        <v>144.91085899999999</v>
      </c>
      <c r="L10" s="233">
        <v>0</v>
      </c>
      <c r="M10" s="233">
        <v>0</v>
      </c>
      <c r="N10" s="233">
        <v>0</v>
      </c>
      <c r="O10" s="233">
        <v>124.706869</v>
      </c>
      <c r="P10" s="233">
        <v>62.956569000000002</v>
      </c>
      <c r="Q10" s="233">
        <v>0</v>
      </c>
      <c r="R10" s="233">
        <v>90.897367000000003</v>
      </c>
      <c r="S10" s="233">
        <v>0</v>
      </c>
      <c r="T10" s="256">
        <v>1</v>
      </c>
      <c r="U10" s="231">
        <v>314.68025599999999</v>
      </c>
      <c r="V10" s="255">
        <v>278.53933699999999</v>
      </c>
      <c r="W10" s="255">
        <v>0</v>
      </c>
      <c r="X10" s="255">
        <v>36.140918999999997</v>
      </c>
      <c r="Y10" s="255">
        <v>314.68025599999999</v>
      </c>
    </row>
    <row r="11" spans="1:25" x14ac:dyDescent="0.25">
      <c r="A11" s="230" t="s">
        <v>195</v>
      </c>
      <c r="B11" s="230" t="s">
        <v>196</v>
      </c>
      <c r="C11" s="230" t="s">
        <v>248</v>
      </c>
      <c r="D11" s="233">
        <v>247.08869300000001</v>
      </c>
      <c r="E11" s="233">
        <v>0</v>
      </c>
      <c r="F11" s="233">
        <v>47.228186000000001</v>
      </c>
      <c r="G11" s="233">
        <v>1</v>
      </c>
      <c r="H11" s="233">
        <v>1</v>
      </c>
      <c r="I11" s="233">
        <v>2.5</v>
      </c>
      <c r="J11" s="233">
        <v>3</v>
      </c>
      <c r="K11" s="233">
        <v>148.18979100000001</v>
      </c>
      <c r="L11" s="233">
        <v>0</v>
      </c>
      <c r="M11" s="233">
        <v>0</v>
      </c>
      <c r="N11" s="233">
        <v>0</v>
      </c>
      <c r="O11" s="233">
        <v>73.222572</v>
      </c>
      <c r="P11" s="233">
        <v>43.368696</v>
      </c>
      <c r="Q11" s="233">
        <v>0</v>
      </c>
      <c r="R11" s="233">
        <v>65.568127000000004</v>
      </c>
      <c r="S11" s="233">
        <v>0</v>
      </c>
      <c r="T11" s="256">
        <v>1</v>
      </c>
      <c r="U11" s="231">
        <v>247.08869300000001</v>
      </c>
      <c r="V11" s="255">
        <v>179.799993</v>
      </c>
      <c r="W11" s="255">
        <v>0</v>
      </c>
      <c r="X11" s="255">
        <v>67.288700000000006</v>
      </c>
      <c r="Y11" s="255">
        <v>247.08869300000001</v>
      </c>
    </row>
    <row r="12" spans="1:25" x14ac:dyDescent="0.25">
      <c r="A12" s="230" t="s">
        <v>113</v>
      </c>
      <c r="B12" s="230" t="s">
        <v>114</v>
      </c>
      <c r="C12" s="230" t="s">
        <v>208</v>
      </c>
      <c r="D12" s="233">
        <v>443.89503000000002</v>
      </c>
      <c r="E12" s="233">
        <v>1</v>
      </c>
      <c r="F12" s="233">
        <v>66.439958000000004</v>
      </c>
      <c r="G12" s="233">
        <v>4.4579360000000001</v>
      </c>
      <c r="H12" s="233">
        <v>0</v>
      </c>
      <c r="I12" s="233">
        <v>2.5</v>
      </c>
      <c r="J12" s="233">
        <v>6.2289680000000001</v>
      </c>
      <c r="K12" s="233">
        <v>147.34236100000001</v>
      </c>
      <c r="L12" s="233">
        <v>0</v>
      </c>
      <c r="M12" s="233">
        <v>2.6016949999999999</v>
      </c>
      <c r="N12" s="233">
        <v>0</v>
      </c>
      <c r="O12" s="233">
        <v>188.73397399999999</v>
      </c>
      <c r="P12" s="233">
        <v>152.239316</v>
      </c>
      <c r="Q12" s="233">
        <v>2.1727660000000002</v>
      </c>
      <c r="R12" s="233">
        <v>16.948967</v>
      </c>
      <c r="S12" s="233">
        <v>0</v>
      </c>
      <c r="T12" s="256">
        <v>1</v>
      </c>
      <c r="U12" s="231">
        <v>443.89503000000002</v>
      </c>
      <c r="V12" s="255">
        <v>357.78391499999998</v>
      </c>
      <c r="W12" s="255">
        <v>0</v>
      </c>
      <c r="X12" s="255">
        <v>86.111114999999998</v>
      </c>
      <c r="Y12" s="255">
        <v>443.89503000000002</v>
      </c>
    </row>
    <row r="13" spans="1:25" x14ac:dyDescent="0.25">
      <c r="A13" s="230" t="s">
        <v>119</v>
      </c>
      <c r="B13" s="230" t="s">
        <v>120</v>
      </c>
      <c r="C13" s="230" t="s">
        <v>210</v>
      </c>
      <c r="D13" s="233">
        <v>850.73437799999999</v>
      </c>
      <c r="E13" s="233">
        <v>0.63</v>
      </c>
      <c r="F13" s="233">
        <v>168.232573</v>
      </c>
      <c r="G13" s="233">
        <v>8.3116099999999999</v>
      </c>
      <c r="H13" s="233">
        <v>0</v>
      </c>
      <c r="I13" s="233">
        <v>2.0564969999999998</v>
      </c>
      <c r="J13" s="233">
        <v>20.378596000000002</v>
      </c>
      <c r="K13" s="233">
        <v>171.77225300000001</v>
      </c>
      <c r="L13" s="233">
        <v>0</v>
      </c>
      <c r="M13" s="233">
        <v>13.184801999999999</v>
      </c>
      <c r="N13" s="233">
        <v>2.5</v>
      </c>
      <c r="O13" s="233">
        <v>413.319211</v>
      </c>
      <c r="P13" s="233">
        <v>116.22977400000001</v>
      </c>
      <c r="Q13" s="233">
        <v>42.941482000000001</v>
      </c>
      <c r="R13" s="233">
        <v>152.96333999999999</v>
      </c>
      <c r="S13" s="233">
        <v>0</v>
      </c>
      <c r="T13" s="256">
        <v>1</v>
      </c>
      <c r="U13" s="231">
        <v>850.73437799999999</v>
      </c>
      <c r="V13" s="255">
        <v>703.80688999999995</v>
      </c>
      <c r="W13" s="255">
        <v>23.562147</v>
      </c>
      <c r="X13" s="255">
        <v>123.365341</v>
      </c>
      <c r="Y13" s="255">
        <v>800.43260299999997</v>
      </c>
    </row>
    <row r="14" spans="1:25" x14ac:dyDescent="0.25">
      <c r="A14" s="230" t="s">
        <v>121</v>
      </c>
      <c r="B14" s="230" t="s">
        <v>122</v>
      </c>
      <c r="C14" s="230" t="s">
        <v>211</v>
      </c>
      <c r="D14" s="233">
        <v>1589.6221780000001</v>
      </c>
      <c r="E14" s="233">
        <v>0.13098699999999999</v>
      </c>
      <c r="F14" s="233">
        <v>227.560247</v>
      </c>
      <c r="G14" s="233">
        <v>12.95454</v>
      </c>
      <c r="H14" s="233">
        <v>1</v>
      </c>
      <c r="I14" s="233">
        <v>5.6973180000000001</v>
      </c>
      <c r="J14" s="233">
        <v>17.917138999999999</v>
      </c>
      <c r="K14" s="233">
        <v>581.98425399999996</v>
      </c>
      <c r="L14" s="233">
        <v>0</v>
      </c>
      <c r="M14" s="233">
        <v>44.149867</v>
      </c>
      <c r="N14" s="233">
        <v>3.9334639999999998</v>
      </c>
      <c r="O14" s="233">
        <v>414.40350999999998</v>
      </c>
      <c r="P14" s="233">
        <v>270.74490500000002</v>
      </c>
      <c r="Q14" s="233">
        <v>0</v>
      </c>
      <c r="R14" s="233">
        <v>476.487234</v>
      </c>
      <c r="S14" s="233">
        <v>0</v>
      </c>
      <c r="T14" s="256">
        <v>2</v>
      </c>
      <c r="U14" s="231">
        <v>1589.6221780000001</v>
      </c>
      <c r="V14" s="255">
        <v>1125.425191</v>
      </c>
      <c r="W14" s="255">
        <v>59.456445000000002</v>
      </c>
      <c r="X14" s="255">
        <v>404.740542</v>
      </c>
      <c r="Y14" s="255">
        <v>1507.4949979999999</v>
      </c>
    </row>
    <row r="15" spans="1:25" x14ac:dyDescent="0.25">
      <c r="A15" s="230" t="s">
        <v>123</v>
      </c>
      <c r="B15" s="230" t="s">
        <v>124</v>
      </c>
      <c r="C15" s="230" t="s">
        <v>212</v>
      </c>
      <c r="D15" s="233">
        <v>824.618246</v>
      </c>
      <c r="E15" s="233">
        <v>0</v>
      </c>
      <c r="F15" s="233">
        <v>155.37751399999999</v>
      </c>
      <c r="G15" s="233">
        <v>5.1990049999999997</v>
      </c>
      <c r="H15" s="233">
        <v>0</v>
      </c>
      <c r="I15" s="233">
        <v>0.5</v>
      </c>
      <c r="J15" s="233">
        <v>13.458657000000001</v>
      </c>
      <c r="K15" s="233">
        <v>389.11069500000002</v>
      </c>
      <c r="L15" s="233">
        <v>0</v>
      </c>
      <c r="M15" s="233">
        <v>3.5</v>
      </c>
      <c r="N15" s="233">
        <v>0</v>
      </c>
      <c r="O15" s="233">
        <v>183.743312</v>
      </c>
      <c r="P15" s="233">
        <v>168.841488</v>
      </c>
      <c r="Q15" s="233">
        <v>33.299351000000001</v>
      </c>
      <c r="R15" s="233">
        <v>299.88319000000001</v>
      </c>
      <c r="S15" s="233">
        <v>0</v>
      </c>
      <c r="T15" s="256">
        <v>1</v>
      </c>
      <c r="U15" s="231">
        <v>824.618246</v>
      </c>
      <c r="V15" s="255">
        <v>683.39608099999998</v>
      </c>
      <c r="W15" s="255">
        <v>0</v>
      </c>
      <c r="X15" s="255">
        <v>141.22216499999999</v>
      </c>
      <c r="Y15" s="255">
        <v>824.618246</v>
      </c>
    </row>
    <row r="16" spans="1:25" x14ac:dyDescent="0.25">
      <c r="A16" s="230" t="s">
        <v>117</v>
      </c>
      <c r="B16" s="230" t="s">
        <v>118</v>
      </c>
      <c r="C16" s="230" t="s">
        <v>209</v>
      </c>
      <c r="D16" s="233">
        <v>1019.99215</v>
      </c>
      <c r="E16" s="233">
        <v>1.2976430000000001</v>
      </c>
      <c r="F16" s="233">
        <v>211.13345899999999</v>
      </c>
      <c r="G16" s="233">
        <v>7.9891100000000002</v>
      </c>
      <c r="H16" s="233">
        <v>0</v>
      </c>
      <c r="I16" s="233">
        <v>2.5626190000000002</v>
      </c>
      <c r="J16" s="233">
        <v>14.382315</v>
      </c>
      <c r="K16" s="233">
        <v>448.10004199999997</v>
      </c>
      <c r="L16" s="233">
        <v>0</v>
      </c>
      <c r="M16" s="233">
        <v>6.1790500000000002</v>
      </c>
      <c r="N16" s="233">
        <v>0</v>
      </c>
      <c r="O16" s="233">
        <v>310.09297500000002</v>
      </c>
      <c r="P16" s="233">
        <v>172.202055</v>
      </c>
      <c r="Q16" s="233">
        <v>21.356421999999998</v>
      </c>
      <c r="R16" s="233">
        <v>311.65357799999998</v>
      </c>
      <c r="S16" s="233">
        <v>15.743404999999999</v>
      </c>
      <c r="T16" s="256">
        <v>1</v>
      </c>
      <c r="U16" s="231">
        <v>1019.99215</v>
      </c>
      <c r="V16" s="255">
        <v>828.96509200000003</v>
      </c>
      <c r="W16" s="255">
        <v>5.0363160000000002</v>
      </c>
      <c r="X16" s="255">
        <v>185.99074200000001</v>
      </c>
      <c r="Y16" s="255">
        <v>1002.65284</v>
      </c>
    </row>
    <row r="17" spans="1:25" x14ac:dyDescent="0.25">
      <c r="A17" s="230" t="s">
        <v>183</v>
      </c>
      <c r="B17" s="230" t="s">
        <v>184</v>
      </c>
      <c r="C17" s="230" t="s">
        <v>242</v>
      </c>
      <c r="D17" s="233">
        <v>732.07476599999995</v>
      </c>
      <c r="E17" s="233">
        <v>0</v>
      </c>
      <c r="F17" s="233">
        <v>114.419882</v>
      </c>
      <c r="G17" s="233">
        <v>3.3610319999999998</v>
      </c>
      <c r="H17" s="233">
        <v>4.5885000000000002E-2</v>
      </c>
      <c r="I17" s="233">
        <v>11.375733</v>
      </c>
      <c r="J17" s="233">
        <v>13.958335999999999</v>
      </c>
      <c r="K17" s="233">
        <v>596.71765600000003</v>
      </c>
      <c r="L17" s="233">
        <v>0</v>
      </c>
      <c r="M17" s="233">
        <v>0</v>
      </c>
      <c r="N17" s="233">
        <v>0</v>
      </c>
      <c r="O17" s="233">
        <v>216.668903</v>
      </c>
      <c r="P17" s="233">
        <v>110.870887</v>
      </c>
      <c r="Q17" s="233">
        <v>6.2222160000000004</v>
      </c>
      <c r="R17" s="233">
        <v>154.43262100000001</v>
      </c>
      <c r="S17" s="233">
        <v>0</v>
      </c>
      <c r="T17" s="256">
        <v>1</v>
      </c>
      <c r="U17" s="231">
        <v>732.07476599999995</v>
      </c>
      <c r="V17" s="255">
        <v>481.64529499999998</v>
      </c>
      <c r="W17" s="255">
        <v>5.4250400000000001</v>
      </c>
      <c r="X17" s="255">
        <v>245.00443100000001</v>
      </c>
      <c r="Y17" s="255">
        <v>710.38003300000003</v>
      </c>
    </row>
    <row r="18" spans="1:25" x14ac:dyDescent="0.25">
      <c r="A18" s="230" t="s">
        <v>127</v>
      </c>
      <c r="B18" s="230" t="s">
        <v>128</v>
      </c>
      <c r="C18" s="230" t="s">
        <v>214</v>
      </c>
      <c r="D18" s="233">
        <v>4497.9601739999998</v>
      </c>
      <c r="E18" s="233">
        <v>8.002777</v>
      </c>
      <c r="F18" s="233">
        <v>580.21740699999998</v>
      </c>
      <c r="G18" s="233">
        <v>30.031382000000001</v>
      </c>
      <c r="H18" s="233">
        <v>3.5887500000000001</v>
      </c>
      <c r="I18" s="233">
        <v>14.136412999999999</v>
      </c>
      <c r="J18" s="233">
        <v>50.077911999999998</v>
      </c>
      <c r="K18" s="233">
        <v>1825.2266549999999</v>
      </c>
      <c r="L18" s="233">
        <v>1</v>
      </c>
      <c r="M18" s="233">
        <v>35.404100999999997</v>
      </c>
      <c r="N18" s="233">
        <v>6.4017710000000001</v>
      </c>
      <c r="O18" s="233">
        <v>1544.34413</v>
      </c>
      <c r="P18" s="233">
        <v>638.79783599999996</v>
      </c>
      <c r="Q18" s="233">
        <v>40.603574999999999</v>
      </c>
      <c r="R18" s="233">
        <v>1412.220873</v>
      </c>
      <c r="S18" s="233">
        <v>5.7321660000000003</v>
      </c>
      <c r="T18" s="256">
        <v>5</v>
      </c>
      <c r="U18" s="231">
        <v>4497.9601739999998</v>
      </c>
      <c r="V18" s="255">
        <v>3624.7038149999998</v>
      </c>
      <c r="W18" s="255">
        <v>311.34267999999997</v>
      </c>
      <c r="X18" s="255">
        <v>561.913679</v>
      </c>
      <c r="Y18" s="255">
        <v>3961.9941739999999</v>
      </c>
    </row>
    <row r="19" spans="1:25" x14ac:dyDescent="0.25">
      <c r="A19" s="230" t="s">
        <v>125</v>
      </c>
      <c r="B19" s="230" t="s">
        <v>126</v>
      </c>
      <c r="C19" s="230" t="s">
        <v>213</v>
      </c>
      <c r="D19" s="233">
        <v>1263.2607149999999</v>
      </c>
      <c r="E19" s="233">
        <v>0.80449000000000004</v>
      </c>
      <c r="F19" s="233">
        <v>171.654552</v>
      </c>
      <c r="G19" s="233">
        <v>8.4169490000000007</v>
      </c>
      <c r="H19" s="233">
        <v>0.28000000000000003</v>
      </c>
      <c r="I19" s="233">
        <v>7.56</v>
      </c>
      <c r="J19" s="233">
        <v>30.558916</v>
      </c>
      <c r="K19" s="233">
        <v>338.37915900000002</v>
      </c>
      <c r="L19" s="233">
        <v>0</v>
      </c>
      <c r="M19" s="233">
        <v>3.5689099999999998</v>
      </c>
      <c r="N19" s="233">
        <v>0.28000000000000003</v>
      </c>
      <c r="O19" s="233">
        <v>469.63660900000002</v>
      </c>
      <c r="P19" s="233">
        <v>121.490364</v>
      </c>
      <c r="Q19" s="233">
        <v>22.816745999999998</v>
      </c>
      <c r="R19" s="233">
        <v>330.58276799999999</v>
      </c>
      <c r="S19" s="233">
        <v>20.682818999999999</v>
      </c>
      <c r="T19" s="256">
        <v>1</v>
      </c>
      <c r="U19" s="231">
        <v>1263.2607149999999</v>
      </c>
      <c r="V19" s="255">
        <v>960.83243700000003</v>
      </c>
      <c r="W19" s="255">
        <v>62.401676000000002</v>
      </c>
      <c r="X19" s="255">
        <v>240.026602</v>
      </c>
      <c r="Y19" s="255">
        <v>1116.0381749999999</v>
      </c>
    </row>
    <row r="20" spans="1:25" x14ac:dyDescent="0.25">
      <c r="A20" s="230" t="s">
        <v>129</v>
      </c>
      <c r="B20" s="230" t="s">
        <v>130</v>
      </c>
      <c r="C20" s="230" t="s">
        <v>215</v>
      </c>
      <c r="D20" s="233">
        <v>360.76220499999999</v>
      </c>
      <c r="E20" s="233">
        <v>0</v>
      </c>
      <c r="F20" s="233">
        <v>61.115706000000003</v>
      </c>
      <c r="G20" s="233">
        <v>9.3559319999999992</v>
      </c>
      <c r="H20" s="233">
        <v>0</v>
      </c>
      <c r="I20" s="233">
        <v>5.7966110000000004</v>
      </c>
      <c r="J20" s="233">
        <v>8.6892099999999992</v>
      </c>
      <c r="K20" s="233">
        <v>214.417855</v>
      </c>
      <c r="L20" s="233">
        <v>0</v>
      </c>
      <c r="M20" s="233">
        <v>0</v>
      </c>
      <c r="N20" s="233">
        <v>0</v>
      </c>
      <c r="O20" s="233">
        <v>105.878917</v>
      </c>
      <c r="P20" s="233">
        <v>55.238258999999999</v>
      </c>
      <c r="Q20" s="233">
        <v>0</v>
      </c>
      <c r="R20" s="233">
        <v>137.45894000000001</v>
      </c>
      <c r="S20" s="233">
        <v>0</v>
      </c>
      <c r="T20" s="256">
        <v>1</v>
      </c>
      <c r="U20" s="231">
        <v>360.76220499999999</v>
      </c>
      <c r="V20" s="255">
        <v>298.49222500000002</v>
      </c>
      <c r="W20" s="255">
        <v>0</v>
      </c>
      <c r="X20" s="255">
        <v>62.269979999999997</v>
      </c>
      <c r="Y20" s="255">
        <v>360.76220499999999</v>
      </c>
    </row>
    <row r="21" spans="1:25" x14ac:dyDescent="0.25">
      <c r="A21" s="230" t="s">
        <v>131</v>
      </c>
      <c r="B21" s="230" t="s">
        <v>132</v>
      </c>
      <c r="C21" s="230" t="s">
        <v>216</v>
      </c>
      <c r="D21" s="233">
        <v>591.67776700000002</v>
      </c>
      <c r="E21" s="233">
        <v>0</v>
      </c>
      <c r="F21" s="233">
        <v>94.642453000000003</v>
      </c>
      <c r="G21" s="233">
        <v>4</v>
      </c>
      <c r="H21" s="233">
        <v>0</v>
      </c>
      <c r="I21" s="233">
        <v>2</v>
      </c>
      <c r="J21" s="233">
        <v>8</v>
      </c>
      <c r="K21" s="233">
        <v>215.233193</v>
      </c>
      <c r="L21" s="233">
        <v>0</v>
      </c>
      <c r="M21" s="233">
        <v>2.8415910000000002</v>
      </c>
      <c r="N21" s="233">
        <v>0</v>
      </c>
      <c r="O21" s="233">
        <v>177.92130299999999</v>
      </c>
      <c r="P21" s="233">
        <v>96.069376000000005</v>
      </c>
      <c r="Q21" s="233">
        <v>18.034095000000001</v>
      </c>
      <c r="R21" s="233">
        <v>193.43580800000001</v>
      </c>
      <c r="S21" s="233">
        <v>0</v>
      </c>
      <c r="T21" s="256">
        <v>1</v>
      </c>
      <c r="U21" s="231">
        <v>591.67776700000002</v>
      </c>
      <c r="V21" s="255">
        <v>484.81151199999999</v>
      </c>
      <c r="W21" s="255">
        <v>0</v>
      </c>
      <c r="X21" s="255">
        <v>106.866255</v>
      </c>
      <c r="Y21" s="255">
        <v>591.67776700000002</v>
      </c>
    </row>
    <row r="22" spans="1:25" x14ac:dyDescent="0.25">
      <c r="A22" s="230" t="s">
        <v>135</v>
      </c>
      <c r="B22" s="230" t="s">
        <v>136</v>
      </c>
      <c r="C22" s="230" t="s">
        <v>218</v>
      </c>
      <c r="D22" s="233">
        <v>739.15898500000003</v>
      </c>
      <c r="E22" s="233">
        <v>0.83168600000000004</v>
      </c>
      <c r="F22" s="233">
        <v>121.51385000000001</v>
      </c>
      <c r="G22" s="233">
        <v>10.768530999999999</v>
      </c>
      <c r="H22" s="233">
        <v>1.1964399999999999</v>
      </c>
      <c r="I22" s="233">
        <v>7.13</v>
      </c>
      <c r="J22" s="233">
        <v>10.101004</v>
      </c>
      <c r="K22" s="233">
        <v>455.60772500000002</v>
      </c>
      <c r="L22" s="233">
        <v>0</v>
      </c>
      <c r="M22" s="233">
        <v>0</v>
      </c>
      <c r="N22" s="233">
        <v>0</v>
      </c>
      <c r="O22" s="233">
        <v>282.196867</v>
      </c>
      <c r="P22" s="233">
        <v>113.551998</v>
      </c>
      <c r="Q22" s="233">
        <v>2.6251380000000002</v>
      </c>
      <c r="R22" s="233">
        <v>354.48461900000001</v>
      </c>
      <c r="S22" s="233">
        <v>10.677128</v>
      </c>
      <c r="T22" s="256">
        <v>1</v>
      </c>
      <c r="U22" s="231">
        <v>739.15898499999992</v>
      </c>
      <c r="V22" s="255">
        <v>729.33886199999995</v>
      </c>
      <c r="W22" s="255">
        <v>6.0051899999999998</v>
      </c>
      <c r="X22" s="255">
        <v>3.8149329999999999</v>
      </c>
      <c r="Y22" s="255">
        <v>707.042418</v>
      </c>
    </row>
    <row r="23" spans="1:25" x14ac:dyDescent="0.25">
      <c r="A23" s="230" t="s">
        <v>139</v>
      </c>
      <c r="B23" s="230" t="s">
        <v>140</v>
      </c>
      <c r="C23" s="230" t="s">
        <v>220</v>
      </c>
      <c r="D23" s="233">
        <v>1347.3865249999999</v>
      </c>
      <c r="E23" s="233">
        <v>2.1343930000000002</v>
      </c>
      <c r="F23" s="233">
        <v>273.63522699999999</v>
      </c>
      <c r="G23" s="233">
        <v>6.2975669999999999</v>
      </c>
      <c r="H23" s="233">
        <v>1</v>
      </c>
      <c r="I23" s="233">
        <v>2</v>
      </c>
      <c r="J23" s="233">
        <v>16.900969</v>
      </c>
      <c r="K23" s="233">
        <v>567.98737600000004</v>
      </c>
      <c r="L23" s="233">
        <v>0</v>
      </c>
      <c r="M23" s="233">
        <v>3</v>
      </c>
      <c r="N23" s="233">
        <v>0</v>
      </c>
      <c r="O23" s="233">
        <v>199.35275799999999</v>
      </c>
      <c r="P23" s="233">
        <v>142.37028000000001</v>
      </c>
      <c r="Q23" s="233">
        <v>178.253613</v>
      </c>
      <c r="R23" s="233">
        <v>634.15932199999997</v>
      </c>
      <c r="S23" s="233">
        <v>0</v>
      </c>
      <c r="T23" s="256">
        <v>1</v>
      </c>
      <c r="U23" s="231">
        <v>1347.3865249999999</v>
      </c>
      <c r="V23" s="255">
        <v>1149.8907300000001</v>
      </c>
      <c r="W23" s="255">
        <v>0.339306</v>
      </c>
      <c r="X23" s="255">
        <v>197.15648899999999</v>
      </c>
      <c r="Y23" s="255">
        <v>1329.8249049999999</v>
      </c>
    </row>
    <row r="24" spans="1:25" x14ac:dyDescent="0.25">
      <c r="A24" s="230" t="s">
        <v>141</v>
      </c>
      <c r="B24" s="230" t="s">
        <v>142</v>
      </c>
      <c r="C24" s="230" t="s">
        <v>221</v>
      </c>
      <c r="D24" s="233">
        <v>771.96822899999995</v>
      </c>
      <c r="E24" s="233">
        <v>0</v>
      </c>
      <c r="F24" s="233">
        <v>154.94539700000001</v>
      </c>
      <c r="G24" s="233">
        <v>8.0196339999999999</v>
      </c>
      <c r="H24" s="233">
        <v>2</v>
      </c>
      <c r="I24" s="233">
        <v>0</v>
      </c>
      <c r="J24" s="233">
        <v>16.239153000000002</v>
      </c>
      <c r="K24" s="233">
        <v>430.22281099999998</v>
      </c>
      <c r="L24" s="233">
        <v>0</v>
      </c>
      <c r="M24" s="233">
        <v>5.0508470000000001</v>
      </c>
      <c r="N24" s="233">
        <v>0</v>
      </c>
      <c r="O24" s="233">
        <v>247.138713</v>
      </c>
      <c r="P24" s="233">
        <v>127.101422</v>
      </c>
      <c r="Q24" s="233">
        <v>12.885405</v>
      </c>
      <c r="R24" s="233">
        <v>292.12924800000002</v>
      </c>
      <c r="S24" s="233">
        <v>0</v>
      </c>
      <c r="T24" s="256">
        <v>1</v>
      </c>
      <c r="U24" s="231">
        <v>771.96822900000006</v>
      </c>
      <c r="V24" s="255">
        <v>677.633914</v>
      </c>
      <c r="W24" s="255">
        <v>0</v>
      </c>
      <c r="X24" s="255">
        <v>94.334315000000004</v>
      </c>
      <c r="Y24" s="255">
        <v>771.96822899999995</v>
      </c>
    </row>
    <row r="25" spans="1:25" x14ac:dyDescent="0.25">
      <c r="A25" s="230" t="s">
        <v>153</v>
      </c>
      <c r="B25" s="230" t="s">
        <v>154</v>
      </c>
      <c r="C25" s="230" t="s">
        <v>227</v>
      </c>
      <c r="D25" s="233">
        <v>648.28250800000001</v>
      </c>
      <c r="E25" s="233">
        <v>0</v>
      </c>
      <c r="F25" s="233">
        <v>142.40535600000001</v>
      </c>
      <c r="G25" s="233">
        <v>3.9568669999999999</v>
      </c>
      <c r="H25" s="233">
        <v>1</v>
      </c>
      <c r="I25" s="233">
        <v>4</v>
      </c>
      <c r="J25" s="233">
        <v>14.372881</v>
      </c>
      <c r="K25" s="233">
        <v>270.83029199999999</v>
      </c>
      <c r="L25" s="233">
        <v>0</v>
      </c>
      <c r="M25" s="233">
        <v>0</v>
      </c>
      <c r="N25" s="233">
        <v>0</v>
      </c>
      <c r="O25" s="233">
        <v>169.82335499999999</v>
      </c>
      <c r="P25" s="233">
        <v>145.04054199999999</v>
      </c>
      <c r="Q25" s="233">
        <v>0</v>
      </c>
      <c r="R25" s="233">
        <v>122.55825</v>
      </c>
      <c r="S25" s="233">
        <v>0</v>
      </c>
      <c r="T25" s="256">
        <v>1</v>
      </c>
      <c r="U25" s="231">
        <v>648.85485600000004</v>
      </c>
      <c r="V25" s="255">
        <v>440.001553</v>
      </c>
      <c r="W25" s="255">
        <v>0</v>
      </c>
      <c r="X25" s="255">
        <v>208.85330300000001</v>
      </c>
      <c r="Y25" s="255">
        <v>648.85485600000004</v>
      </c>
    </row>
    <row r="26" spans="1:25" x14ac:dyDescent="0.25">
      <c r="A26" s="230" t="s">
        <v>185</v>
      </c>
      <c r="B26" s="230" t="s">
        <v>186</v>
      </c>
      <c r="C26" s="230" t="s">
        <v>243</v>
      </c>
      <c r="D26" s="233">
        <v>1187.2641430000001</v>
      </c>
      <c r="E26" s="233">
        <v>0.25707799999999997</v>
      </c>
      <c r="F26" s="233">
        <v>124.180471</v>
      </c>
      <c r="G26" s="233">
        <v>8.9057870000000001</v>
      </c>
      <c r="H26" s="233">
        <v>0.12853899999999999</v>
      </c>
      <c r="I26" s="233">
        <v>4.3470219999999999</v>
      </c>
      <c r="J26" s="233">
        <v>15.495953</v>
      </c>
      <c r="K26" s="233">
        <v>61.710371000000002</v>
      </c>
      <c r="L26" s="233">
        <v>0</v>
      </c>
      <c r="M26" s="233">
        <v>0</v>
      </c>
      <c r="N26" s="233">
        <v>2.2585389999999999</v>
      </c>
      <c r="O26" s="233">
        <v>174.03447299999999</v>
      </c>
      <c r="P26" s="233">
        <v>143.757071</v>
      </c>
      <c r="Q26" s="233">
        <v>11.270030999999999</v>
      </c>
      <c r="R26" s="233">
        <v>306.80318799999998</v>
      </c>
      <c r="S26" s="233">
        <v>0</v>
      </c>
      <c r="T26" s="256">
        <v>1</v>
      </c>
      <c r="U26" s="231">
        <v>1187.2641430000001</v>
      </c>
      <c r="V26" s="255">
        <v>635.36999300000002</v>
      </c>
      <c r="W26" s="255">
        <v>158.62125599999999</v>
      </c>
      <c r="X26" s="255">
        <v>393.27289400000001</v>
      </c>
      <c r="Y26" s="255">
        <v>1028.642887</v>
      </c>
    </row>
    <row r="27" spans="1:25" x14ac:dyDescent="0.25">
      <c r="A27" s="230" t="s">
        <v>143</v>
      </c>
      <c r="B27" s="230" t="s">
        <v>144</v>
      </c>
      <c r="C27" s="230" t="s">
        <v>222</v>
      </c>
      <c r="D27" s="233">
        <v>2195.4556480000001</v>
      </c>
      <c r="E27" s="233">
        <v>2.4322089999999998</v>
      </c>
      <c r="F27" s="233">
        <v>268.98651000000001</v>
      </c>
      <c r="G27" s="233">
        <v>11.948812999999999</v>
      </c>
      <c r="H27" s="233">
        <v>2.0524000000000001E-2</v>
      </c>
      <c r="I27" s="233">
        <v>1.8746480000000001</v>
      </c>
      <c r="J27" s="233">
        <v>29.925678000000001</v>
      </c>
      <c r="K27" s="233">
        <v>724.43230900000003</v>
      </c>
      <c r="L27" s="233">
        <v>0</v>
      </c>
      <c r="M27" s="233">
        <v>3.27</v>
      </c>
      <c r="N27" s="233">
        <v>2.1198239999999999</v>
      </c>
      <c r="O27" s="233">
        <v>798.90413899999999</v>
      </c>
      <c r="P27" s="233">
        <v>282.56710900000002</v>
      </c>
      <c r="Q27" s="233">
        <v>9.039555</v>
      </c>
      <c r="R27" s="233">
        <v>656.11267299999997</v>
      </c>
      <c r="S27" s="233">
        <v>0</v>
      </c>
      <c r="T27" s="256">
        <v>2</v>
      </c>
      <c r="U27" s="231">
        <v>2195.4556480000001</v>
      </c>
      <c r="V27" s="255">
        <v>1731.9021150000001</v>
      </c>
      <c r="W27" s="255">
        <v>87.436341999999996</v>
      </c>
      <c r="X27" s="255">
        <v>376.11719099999999</v>
      </c>
      <c r="Y27" s="255">
        <v>2063.9516410000001</v>
      </c>
    </row>
    <row r="28" spans="1:25" x14ac:dyDescent="0.25">
      <c r="A28" s="230" t="s">
        <v>145</v>
      </c>
      <c r="B28" s="230" t="s">
        <v>146</v>
      </c>
      <c r="C28" s="230" t="s">
        <v>223</v>
      </c>
      <c r="D28" s="233">
        <v>1157.2874979999999</v>
      </c>
      <c r="E28" s="233">
        <v>1.28</v>
      </c>
      <c r="F28" s="233">
        <v>191.89829900000001</v>
      </c>
      <c r="G28" s="233">
        <v>4</v>
      </c>
      <c r="H28" s="233">
        <v>0.14000000000000001</v>
      </c>
      <c r="I28" s="233">
        <v>4.6802510000000002</v>
      </c>
      <c r="J28" s="233">
        <v>8.2799999999999994</v>
      </c>
      <c r="K28" s="233">
        <v>525.75642800000003</v>
      </c>
      <c r="L28" s="233">
        <v>0</v>
      </c>
      <c r="M28" s="233">
        <v>0</v>
      </c>
      <c r="N28" s="233">
        <v>0</v>
      </c>
      <c r="O28" s="233">
        <v>372.30326000000002</v>
      </c>
      <c r="P28" s="233">
        <v>139.53357199999999</v>
      </c>
      <c r="Q28" s="233">
        <v>26.623394000000001</v>
      </c>
      <c r="R28" s="233">
        <v>403.77063500000003</v>
      </c>
      <c r="S28" s="233">
        <v>0</v>
      </c>
      <c r="T28" s="256">
        <v>2</v>
      </c>
      <c r="U28" s="231">
        <v>1157.2874979999999</v>
      </c>
      <c r="V28" s="255">
        <v>941.11635999999999</v>
      </c>
      <c r="W28" s="255">
        <v>10.978123</v>
      </c>
      <c r="X28" s="255">
        <v>205.193015</v>
      </c>
      <c r="Y28" s="255">
        <v>1139.0677069999999</v>
      </c>
    </row>
    <row r="29" spans="1:25" x14ac:dyDescent="0.25">
      <c r="A29" s="230" t="s">
        <v>147</v>
      </c>
      <c r="B29" s="230" t="s">
        <v>148</v>
      </c>
      <c r="C29" s="230" t="s">
        <v>224</v>
      </c>
      <c r="D29" s="233">
        <v>1111.0302489999999</v>
      </c>
      <c r="E29" s="233">
        <v>0.39416899999999999</v>
      </c>
      <c r="F29" s="233">
        <v>168.69804600000001</v>
      </c>
      <c r="G29" s="233">
        <v>5.7427289999999998</v>
      </c>
      <c r="H29" s="233">
        <v>1.168177</v>
      </c>
      <c r="I29" s="233">
        <v>0.13145499999999999</v>
      </c>
      <c r="J29" s="233">
        <v>12.833468</v>
      </c>
      <c r="K29" s="233">
        <v>254.718706</v>
      </c>
      <c r="L29" s="233">
        <v>0.43389499999999998</v>
      </c>
      <c r="M29" s="233">
        <v>1.0939160000000001</v>
      </c>
      <c r="N29" s="233">
        <v>0.52953499999999998</v>
      </c>
      <c r="O29" s="233">
        <v>365.08139399999999</v>
      </c>
      <c r="P29" s="233">
        <v>164.04495399999999</v>
      </c>
      <c r="Q29" s="233">
        <v>29.379166000000001</v>
      </c>
      <c r="R29" s="233">
        <v>205.224739</v>
      </c>
      <c r="S29" s="233">
        <v>6.6037210000000002</v>
      </c>
      <c r="T29" s="256">
        <v>1</v>
      </c>
      <c r="U29" s="231">
        <v>1111.0302489999999</v>
      </c>
      <c r="V29" s="255">
        <v>767.104375</v>
      </c>
      <c r="W29" s="255">
        <v>49.070776000000002</v>
      </c>
      <c r="X29" s="255">
        <v>294.855098</v>
      </c>
      <c r="Y29" s="255">
        <v>1010.2053550000001</v>
      </c>
    </row>
    <row r="30" spans="1:25" x14ac:dyDescent="0.25">
      <c r="A30" s="230" t="s">
        <v>149</v>
      </c>
      <c r="B30" s="230" t="s">
        <v>150</v>
      </c>
      <c r="C30" s="230" t="s">
        <v>225</v>
      </c>
      <c r="D30" s="233">
        <v>2185.86247</v>
      </c>
      <c r="E30" s="233">
        <v>2.2897090000000002</v>
      </c>
      <c r="F30" s="233">
        <v>392.25771300000002</v>
      </c>
      <c r="G30" s="233">
        <v>18.223201</v>
      </c>
      <c r="H30" s="233">
        <v>3.4764710000000001</v>
      </c>
      <c r="I30" s="233">
        <v>9.2625720000000005</v>
      </c>
      <c r="J30" s="233">
        <v>55.197719999999997</v>
      </c>
      <c r="K30" s="233">
        <v>827.90306699999996</v>
      </c>
      <c r="L30" s="233">
        <v>0</v>
      </c>
      <c r="M30" s="233">
        <v>7</v>
      </c>
      <c r="N30" s="233">
        <v>0.14000000000000001</v>
      </c>
      <c r="O30" s="233">
        <v>612.36385399999995</v>
      </c>
      <c r="P30" s="233">
        <v>372.45995799999997</v>
      </c>
      <c r="Q30" s="233">
        <v>180.14274599999999</v>
      </c>
      <c r="R30" s="233">
        <v>648.51757399999997</v>
      </c>
      <c r="S30" s="233">
        <v>84.033461000000003</v>
      </c>
      <c r="T30" s="256">
        <v>2</v>
      </c>
      <c r="U30" s="231">
        <v>2185.86247</v>
      </c>
      <c r="V30" s="255">
        <v>1875.512101</v>
      </c>
      <c r="W30" s="255">
        <v>53.558776000000002</v>
      </c>
      <c r="X30" s="255">
        <v>256.79159299999998</v>
      </c>
      <c r="Y30" s="255">
        <v>2066.3369819999998</v>
      </c>
    </row>
    <row r="31" spans="1:25" x14ac:dyDescent="0.25">
      <c r="A31" s="230" t="s">
        <v>157</v>
      </c>
      <c r="B31" s="230" t="s">
        <v>158</v>
      </c>
      <c r="C31" s="230" t="s">
        <v>229</v>
      </c>
      <c r="D31" s="233">
        <v>1110.5186900000001</v>
      </c>
      <c r="E31" s="233">
        <v>0.25</v>
      </c>
      <c r="F31" s="233">
        <v>149.99245099999999</v>
      </c>
      <c r="G31" s="233">
        <v>2.5456029999999998</v>
      </c>
      <c r="H31" s="233">
        <v>0.45382699999999998</v>
      </c>
      <c r="I31" s="233">
        <v>11.228776</v>
      </c>
      <c r="J31" s="233">
        <v>17.378768999999998</v>
      </c>
      <c r="K31" s="233">
        <v>181.44544300000001</v>
      </c>
      <c r="L31" s="233">
        <v>0</v>
      </c>
      <c r="M31" s="233">
        <v>1.39</v>
      </c>
      <c r="N31" s="233">
        <v>1</v>
      </c>
      <c r="O31" s="233">
        <v>400.39280400000001</v>
      </c>
      <c r="P31" s="233">
        <v>169.220766</v>
      </c>
      <c r="Q31" s="233">
        <v>39.327094000000002</v>
      </c>
      <c r="R31" s="233">
        <v>244.416718</v>
      </c>
      <c r="S31" s="233">
        <v>0</v>
      </c>
      <c r="T31" s="256">
        <v>1</v>
      </c>
      <c r="U31" s="231">
        <v>1110.5186900000001</v>
      </c>
      <c r="V31" s="255">
        <v>848.65905299999997</v>
      </c>
      <c r="W31" s="255">
        <v>21.290476000000002</v>
      </c>
      <c r="X31" s="255">
        <v>240.56916100000001</v>
      </c>
      <c r="Y31" s="255">
        <v>1054.948805</v>
      </c>
    </row>
    <row r="32" spans="1:25" x14ac:dyDescent="0.25">
      <c r="A32" s="230" t="s">
        <v>151</v>
      </c>
      <c r="B32" s="230" t="s">
        <v>152</v>
      </c>
      <c r="C32" s="230" t="s">
        <v>226</v>
      </c>
      <c r="D32" s="233">
        <v>444.91727800000001</v>
      </c>
      <c r="E32" s="233">
        <v>0</v>
      </c>
      <c r="F32" s="233">
        <v>103.22615</v>
      </c>
      <c r="G32" s="233">
        <v>5.4351149999999997</v>
      </c>
      <c r="H32" s="233">
        <v>1</v>
      </c>
      <c r="I32" s="233">
        <v>7.3721370000000004</v>
      </c>
      <c r="J32" s="233">
        <v>11.544714000000001</v>
      </c>
      <c r="K32" s="233">
        <v>444.91727800000001</v>
      </c>
      <c r="L32" s="233">
        <v>0</v>
      </c>
      <c r="M32" s="233">
        <v>0</v>
      </c>
      <c r="N32" s="233">
        <v>0</v>
      </c>
      <c r="O32" s="233">
        <v>166.03674699999999</v>
      </c>
      <c r="P32" s="233">
        <v>24.020298</v>
      </c>
      <c r="Q32" s="233">
        <v>5.0717400000000001</v>
      </c>
      <c r="R32" s="233">
        <v>140.93123499999999</v>
      </c>
      <c r="S32" s="233">
        <v>0</v>
      </c>
      <c r="T32" s="256">
        <v>1</v>
      </c>
      <c r="U32" s="231">
        <v>444.91727800000001</v>
      </c>
      <c r="V32" s="255">
        <v>336.03599300000002</v>
      </c>
      <c r="W32" s="255">
        <v>0.514042</v>
      </c>
      <c r="X32" s="255">
        <v>108.367243</v>
      </c>
      <c r="Y32" s="255">
        <v>444.25005700000003</v>
      </c>
    </row>
    <row r="33" spans="1:25" x14ac:dyDescent="0.25">
      <c r="A33" s="230" t="s">
        <v>155</v>
      </c>
      <c r="B33" s="230" t="s">
        <v>156</v>
      </c>
      <c r="C33" s="230" t="s">
        <v>228</v>
      </c>
      <c r="D33" s="233">
        <v>1401.3242889999999</v>
      </c>
      <c r="E33" s="233">
        <v>0.189995</v>
      </c>
      <c r="F33" s="233">
        <v>257.76401700000002</v>
      </c>
      <c r="G33" s="233">
        <v>8.0541330000000002</v>
      </c>
      <c r="H33" s="233">
        <v>0.18113799999999999</v>
      </c>
      <c r="I33" s="233">
        <v>8.9159729999999993</v>
      </c>
      <c r="J33" s="233">
        <v>30.12208</v>
      </c>
      <c r="K33" s="233">
        <v>643.77292599999998</v>
      </c>
      <c r="L33" s="233">
        <v>2</v>
      </c>
      <c r="M33" s="233">
        <v>23.197225</v>
      </c>
      <c r="N33" s="233">
        <v>0</v>
      </c>
      <c r="O33" s="233">
        <v>397.62038699999999</v>
      </c>
      <c r="P33" s="233">
        <v>217.525148</v>
      </c>
      <c r="Q33" s="233">
        <v>12.215576</v>
      </c>
      <c r="R33" s="233">
        <v>433.64990399999999</v>
      </c>
      <c r="S33" s="233">
        <v>47.603799000000002</v>
      </c>
      <c r="T33" s="256">
        <v>1</v>
      </c>
      <c r="U33" s="231">
        <v>1401.3242889999999</v>
      </c>
      <c r="V33" s="255">
        <v>1103.3239369999999</v>
      </c>
      <c r="W33" s="255">
        <v>37.405051999999998</v>
      </c>
      <c r="X33" s="255">
        <v>260.59530000000001</v>
      </c>
      <c r="Y33" s="255">
        <v>1338.4100940000001</v>
      </c>
    </row>
    <row r="34" spans="1:25" x14ac:dyDescent="0.25">
      <c r="A34" s="230" t="s">
        <v>115</v>
      </c>
      <c r="B34" s="230" t="s">
        <v>116</v>
      </c>
      <c r="C34" s="230" t="s">
        <v>208</v>
      </c>
      <c r="D34" s="233">
        <v>709.83504000000005</v>
      </c>
      <c r="E34" s="233">
        <v>0</v>
      </c>
      <c r="F34" s="233">
        <v>91.401610000000005</v>
      </c>
      <c r="G34" s="233">
        <v>5.5</v>
      </c>
      <c r="H34" s="233">
        <v>0.5</v>
      </c>
      <c r="I34" s="233">
        <v>2</v>
      </c>
      <c r="J34" s="233">
        <v>18.689654999999998</v>
      </c>
      <c r="K34" s="233">
        <v>0</v>
      </c>
      <c r="L34" s="233">
        <v>0</v>
      </c>
      <c r="M34" s="233">
        <v>0</v>
      </c>
      <c r="N34" s="233">
        <v>0.71042000000000005</v>
      </c>
      <c r="O34" s="233">
        <v>251.04965200000001</v>
      </c>
      <c r="P34" s="233">
        <v>149.92208600000001</v>
      </c>
      <c r="Q34" s="233">
        <v>0</v>
      </c>
      <c r="R34" s="233">
        <v>14.914020000000001</v>
      </c>
      <c r="S34" s="233">
        <v>0</v>
      </c>
      <c r="T34" s="256">
        <v>1</v>
      </c>
      <c r="U34" s="231">
        <v>709.83504000000005</v>
      </c>
      <c r="V34" s="255">
        <v>415.07251500000001</v>
      </c>
      <c r="W34" s="255">
        <v>63.559069999999998</v>
      </c>
      <c r="X34" s="255">
        <v>231.20345499999999</v>
      </c>
      <c r="Y34" s="255">
        <v>616.08671200000003</v>
      </c>
    </row>
    <row r="35" spans="1:25" x14ac:dyDescent="0.25">
      <c r="A35" s="230" t="s">
        <v>191</v>
      </c>
      <c r="B35" s="230" t="s">
        <v>192</v>
      </c>
      <c r="C35" s="230" t="s">
        <v>246</v>
      </c>
      <c r="D35" s="233">
        <v>312.63321400000001</v>
      </c>
      <c r="E35" s="233">
        <v>1.4</v>
      </c>
      <c r="F35" s="233">
        <v>53.101694000000002</v>
      </c>
      <c r="G35" s="233">
        <v>2.2999999999999998</v>
      </c>
      <c r="H35" s="233">
        <v>0</v>
      </c>
      <c r="I35" s="233">
        <v>0</v>
      </c>
      <c r="J35" s="233">
        <v>2.754972</v>
      </c>
      <c r="K35" s="233">
        <v>108.825018</v>
      </c>
      <c r="L35" s="233">
        <v>0</v>
      </c>
      <c r="M35" s="233">
        <v>0</v>
      </c>
      <c r="N35" s="233">
        <v>0.5</v>
      </c>
      <c r="O35" s="233">
        <v>153.37126499999999</v>
      </c>
      <c r="P35" s="233">
        <v>108.127968</v>
      </c>
      <c r="Q35" s="233">
        <v>0</v>
      </c>
      <c r="R35" s="233">
        <v>0</v>
      </c>
      <c r="S35" s="233">
        <v>0</v>
      </c>
      <c r="T35" s="256">
        <v>1</v>
      </c>
      <c r="U35" s="231">
        <v>338.47873733333341</v>
      </c>
      <c r="V35" s="255">
        <v>255.34215733333329</v>
      </c>
      <c r="W35" s="255">
        <v>0</v>
      </c>
      <c r="X35" s="255">
        <v>83.136579999999995</v>
      </c>
      <c r="Y35" s="255">
        <v>338.47873733333341</v>
      </c>
    </row>
    <row r="36" spans="1:25" x14ac:dyDescent="0.25">
      <c r="A36" s="230" t="s">
        <v>163</v>
      </c>
      <c r="B36" s="230" t="s">
        <v>164</v>
      </c>
      <c r="C36" s="230" t="s">
        <v>232</v>
      </c>
      <c r="D36" s="233">
        <v>672.70673599999998</v>
      </c>
      <c r="E36" s="233">
        <v>1.4011670000000001</v>
      </c>
      <c r="F36" s="233">
        <v>145.092423</v>
      </c>
      <c r="G36" s="233">
        <v>7.4589759999999998</v>
      </c>
      <c r="H36" s="233">
        <v>0.04</v>
      </c>
      <c r="I36" s="233">
        <v>13.740847</v>
      </c>
      <c r="J36" s="233">
        <v>8.0929699999999993</v>
      </c>
      <c r="K36" s="233">
        <v>529.66823399999998</v>
      </c>
      <c r="L36" s="233">
        <v>0</v>
      </c>
      <c r="M36" s="233">
        <v>0</v>
      </c>
      <c r="N36" s="233">
        <v>0</v>
      </c>
      <c r="O36" s="233">
        <v>251.21781300000001</v>
      </c>
      <c r="P36" s="233">
        <v>89.899654999999996</v>
      </c>
      <c r="Q36" s="233">
        <v>0</v>
      </c>
      <c r="R36" s="233">
        <v>216.45654400000001</v>
      </c>
      <c r="S36" s="233">
        <v>0</v>
      </c>
      <c r="T36" s="256">
        <v>1</v>
      </c>
      <c r="U36" s="231">
        <v>672.70673599999998</v>
      </c>
      <c r="V36" s="255">
        <v>557.137249</v>
      </c>
      <c r="W36" s="255">
        <v>14.565708000000001</v>
      </c>
      <c r="X36" s="255">
        <v>101.00377899999999</v>
      </c>
      <c r="Y36" s="255">
        <v>643.09736599999997</v>
      </c>
    </row>
    <row r="37" spans="1:25" x14ac:dyDescent="0.25">
      <c r="A37" s="230" t="s">
        <v>103</v>
      </c>
      <c r="B37" s="230" t="s">
        <v>104</v>
      </c>
      <c r="C37" s="230" t="s">
        <v>203</v>
      </c>
      <c r="D37" s="233">
        <v>600.24709800000005</v>
      </c>
      <c r="E37" s="233">
        <v>0.84</v>
      </c>
      <c r="F37" s="233">
        <v>96.612369999999999</v>
      </c>
      <c r="G37" s="233">
        <v>2.795588</v>
      </c>
      <c r="H37" s="233">
        <v>0.86</v>
      </c>
      <c r="I37" s="233">
        <v>2.2799999999999998</v>
      </c>
      <c r="J37" s="233">
        <v>7.7081359999999997</v>
      </c>
      <c r="K37" s="233">
        <v>234.33984599999999</v>
      </c>
      <c r="L37" s="233">
        <v>0</v>
      </c>
      <c r="M37" s="233">
        <v>0</v>
      </c>
      <c r="N37" s="233">
        <v>9.5588000000000006E-2</v>
      </c>
      <c r="O37" s="233">
        <v>193.44576599999999</v>
      </c>
      <c r="P37" s="233">
        <v>90.471620000000001</v>
      </c>
      <c r="Q37" s="233">
        <v>0</v>
      </c>
      <c r="R37" s="233">
        <v>200.577494</v>
      </c>
      <c r="S37" s="233">
        <v>0</v>
      </c>
      <c r="T37" s="256">
        <v>1</v>
      </c>
      <c r="U37" s="231">
        <v>600.24709800000005</v>
      </c>
      <c r="V37" s="255">
        <v>480.210441</v>
      </c>
      <c r="W37" s="255">
        <v>28.899069000000001</v>
      </c>
      <c r="X37" s="255">
        <v>91.137587999999994</v>
      </c>
      <c r="Y37" s="255">
        <v>501.18258700000001</v>
      </c>
    </row>
    <row r="38" spans="1:25" x14ac:dyDescent="0.25">
      <c r="A38" s="230" t="s">
        <v>165</v>
      </c>
      <c r="B38" s="230" t="s">
        <v>166</v>
      </c>
      <c r="C38" s="230" t="s">
        <v>233</v>
      </c>
      <c r="D38" s="233">
        <v>822.20501000000002</v>
      </c>
      <c r="E38" s="233">
        <v>0</v>
      </c>
      <c r="F38" s="233">
        <v>120.789751</v>
      </c>
      <c r="G38" s="233">
        <v>5</v>
      </c>
      <c r="H38" s="233">
        <v>1</v>
      </c>
      <c r="I38" s="233">
        <v>6.14</v>
      </c>
      <c r="J38" s="233">
        <v>18.630348999999999</v>
      </c>
      <c r="K38" s="233">
        <v>377.15292399999998</v>
      </c>
      <c r="L38" s="233">
        <v>0</v>
      </c>
      <c r="M38" s="233">
        <v>19</v>
      </c>
      <c r="N38" s="233">
        <v>0</v>
      </c>
      <c r="O38" s="233">
        <v>251.412893</v>
      </c>
      <c r="P38" s="233">
        <v>108.88398100000001</v>
      </c>
      <c r="Q38" s="233">
        <v>17.269553999999999</v>
      </c>
      <c r="R38" s="233">
        <v>262.84981099999999</v>
      </c>
      <c r="S38" s="233">
        <v>0.21937300000000001</v>
      </c>
      <c r="T38" s="256">
        <v>1</v>
      </c>
      <c r="U38" s="231">
        <v>822.2050099999999</v>
      </c>
      <c r="V38" s="255">
        <v>636.36371399999996</v>
      </c>
      <c r="W38" s="255">
        <v>21.547708</v>
      </c>
      <c r="X38" s="255">
        <v>164.293588</v>
      </c>
      <c r="Y38" s="255">
        <v>794.68826000000001</v>
      </c>
    </row>
    <row r="39" spans="1:25" x14ac:dyDescent="0.25">
      <c r="A39" s="230" t="s">
        <v>179</v>
      </c>
      <c r="B39" s="230" t="s">
        <v>180</v>
      </c>
      <c r="C39" s="230" t="s">
        <v>240</v>
      </c>
      <c r="D39" s="233">
        <v>788.07446900000002</v>
      </c>
      <c r="E39" s="233">
        <v>0</v>
      </c>
      <c r="F39" s="233">
        <v>134.985366</v>
      </c>
      <c r="G39" s="233">
        <v>3.55</v>
      </c>
      <c r="H39" s="233">
        <v>1</v>
      </c>
      <c r="I39" s="233">
        <v>0</v>
      </c>
      <c r="J39" s="233">
        <v>7.5</v>
      </c>
      <c r="K39" s="233">
        <v>336.52387199999998</v>
      </c>
      <c r="L39" s="233">
        <v>0</v>
      </c>
      <c r="M39" s="233">
        <v>0</v>
      </c>
      <c r="N39" s="233">
        <v>0</v>
      </c>
      <c r="O39" s="233">
        <v>175.07276899999999</v>
      </c>
      <c r="P39" s="233">
        <v>116.4555</v>
      </c>
      <c r="Q39" s="233">
        <v>4.853148</v>
      </c>
      <c r="R39" s="233">
        <v>227.37854999999999</v>
      </c>
      <c r="S39" s="233">
        <v>0</v>
      </c>
      <c r="T39" s="256">
        <v>1</v>
      </c>
      <c r="U39" s="231">
        <v>788.07446899999991</v>
      </c>
      <c r="V39" s="255">
        <v>519.83637499999998</v>
      </c>
      <c r="W39" s="255">
        <v>0</v>
      </c>
      <c r="X39" s="255">
        <v>268.23809399999999</v>
      </c>
      <c r="Y39" s="255">
        <v>788.07446900000002</v>
      </c>
    </row>
    <row r="40" spans="1:25" x14ac:dyDescent="0.25">
      <c r="A40" s="230" t="s">
        <v>193</v>
      </c>
      <c r="B40" s="230" t="s">
        <v>194</v>
      </c>
      <c r="C40" s="230" t="s">
        <v>247</v>
      </c>
      <c r="D40" s="233">
        <v>936.96177</v>
      </c>
      <c r="E40" s="233">
        <v>0.421373</v>
      </c>
      <c r="F40" s="233">
        <v>195.69344799999999</v>
      </c>
      <c r="G40" s="233">
        <v>10.253062999999999</v>
      </c>
      <c r="H40" s="233">
        <v>0.56000000000000005</v>
      </c>
      <c r="I40" s="233">
        <v>2.1356E-2</v>
      </c>
      <c r="J40" s="233">
        <v>20.441974999999999</v>
      </c>
      <c r="K40" s="233">
        <v>215.799442</v>
      </c>
      <c r="L40" s="233">
        <v>0.5</v>
      </c>
      <c r="M40" s="233">
        <v>44.235281999999998</v>
      </c>
      <c r="N40" s="233">
        <v>2.1184270000000001</v>
      </c>
      <c r="O40" s="233">
        <v>313.89305000000002</v>
      </c>
      <c r="P40" s="233">
        <v>210.46973700000001</v>
      </c>
      <c r="Q40" s="233">
        <v>0</v>
      </c>
      <c r="R40" s="233">
        <v>233.725863</v>
      </c>
      <c r="S40" s="233">
        <v>0</v>
      </c>
      <c r="T40" s="256">
        <v>1</v>
      </c>
      <c r="U40" s="231">
        <v>936.96177</v>
      </c>
      <c r="V40" s="255">
        <v>742.87078299999996</v>
      </c>
      <c r="W40" s="255">
        <v>46.228091999999997</v>
      </c>
      <c r="X40" s="255">
        <v>147.86289500000001</v>
      </c>
      <c r="Y40" s="255">
        <v>834.20081000000005</v>
      </c>
    </row>
    <row r="41" spans="1:25" x14ac:dyDescent="0.25">
      <c r="A41" s="230" t="s">
        <v>167</v>
      </c>
      <c r="B41" s="230" t="s">
        <v>168</v>
      </c>
      <c r="C41" s="230" t="s">
        <v>234</v>
      </c>
      <c r="D41" s="233">
        <v>595.41497400000003</v>
      </c>
      <c r="E41" s="233">
        <v>0</v>
      </c>
      <c r="F41" s="233">
        <v>142.44101000000001</v>
      </c>
      <c r="G41" s="233">
        <v>3.2055560000000001</v>
      </c>
      <c r="H41" s="233">
        <v>1</v>
      </c>
      <c r="I41" s="233">
        <v>6.3483150000000004</v>
      </c>
      <c r="J41" s="233">
        <v>17.865917</v>
      </c>
      <c r="K41" s="233">
        <v>595.41497400000003</v>
      </c>
      <c r="L41" s="233">
        <v>0</v>
      </c>
      <c r="M41" s="233">
        <v>0</v>
      </c>
      <c r="N41" s="233">
        <v>1</v>
      </c>
      <c r="O41" s="233">
        <v>173.49775099999999</v>
      </c>
      <c r="P41" s="233">
        <v>113.292753</v>
      </c>
      <c r="Q41" s="233">
        <v>0</v>
      </c>
      <c r="R41" s="233">
        <v>224.96102099999999</v>
      </c>
      <c r="S41" s="233">
        <v>0</v>
      </c>
      <c r="T41" s="256">
        <v>1</v>
      </c>
      <c r="U41" s="231">
        <v>595.41497400000003</v>
      </c>
      <c r="V41" s="255">
        <v>511.164446</v>
      </c>
      <c r="W41" s="255">
        <v>0</v>
      </c>
      <c r="X41" s="255">
        <v>84.250528000000003</v>
      </c>
      <c r="Y41" s="255">
        <v>595.41497400000003</v>
      </c>
    </row>
    <row r="42" spans="1:25" x14ac:dyDescent="0.25">
      <c r="A42" s="230" t="s">
        <v>197</v>
      </c>
      <c r="B42" s="230" t="s">
        <v>198</v>
      </c>
      <c r="C42" s="230" t="s">
        <v>249</v>
      </c>
      <c r="D42" s="233">
        <v>607.23261000000002</v>
      </c>
      <c r="E42" s="233">
        <v>0</v>
      </c>
      <c r="F42" s="233">
        <v>113.003612</v>
      </c>
      <c r="G42" s="233">
        <v>7.1447229999999999</v>
      </c>
      <c r="H42" s="233">
        <v>0</v>
      </c>
      <c r="I42" s="233">
        <v>3.899</v>
      </c>
      <c r="J42" s="233">
        <v>9.5482779999999998</v>
      </c>
      <c r="K42" s="233">
        <v>308.00966799999998</v>
      </c>
      <c r="L42" s="233">
        <v>0</v>
      </c>
      <c r="M42" s="233">
        <v>0</v>
      </c>
      <c r="N42" s="233">
        <v>0</v>
      </c>
      <c r="O42" s="233">
        <v>197.74687</v>
      </c>
      <c r="P42" s="233">
        <v>81.951958000000005</v>
      </c>
      <c r="Q42" s="233">
        <v>0</v>
      </c>
      <c r="R42" s="233">
        <v>178.064527</v>
      </c>
      <c r="S42" s="233">
        <v>0</v>
      </c>
      <c r="T42" s="256">
        <v>1</v>
      </c>
      <c r="U42" s="231">
        <v>607.23261000000002</v>
      </c>
      <c r="V42" s="255">
        <v>454.15168699999998</v>
      </c>
      <c r="W42" s="255">
        <v>0</v>
      </c>
      <c r="X42" s="255">
        <v>153.08092300000001</v>
      </c>
      <c r="Y42" s="255">
        <v>607.23261000000002</v>
      </c>
    </row>
    <row r="43" spans="1:25" x14ac:dyDescent="0.25">
      <c r="A43" s="230" t="s">
        <v>169</v>
      </c>
      <c r="B43" s="230" t="s">
        <v>170</v>
      </c>
      <c r="C43" s="230" t="s">
        <v>235</v>
      </c>
      <c r="D43" s="233">
        <v>1017.053596</v>
      </c>
      <c r="E43" s="233">
        <v>0</v>
      </c>
      <c r="F43" s="233">
        <v>168.058561</v>
      </c>
      <c r="G43" s="233">
        <v>11.015393</v>
      </c>
      <c r="H43" s="233">
        <v>1</v>
      </c>
      <c r="I43" s="233">
        <v>7</v>
      </c>
      <c r="J43" s="233">
        <v>21.696629000000001</v>
      </c>
      <c r="K43" s="233">
        <v>534.76409999999998</v>
      </c>
      <c r="L43" s="233">
        <v>0</v>
      </c>
      <c r="M43" s="233">
        <v>0</v>
      </c>
      <c r="N43" s="233">
        <v>0</v>
      </c>
      <c r="O43" s="233">
        <v>292.37536399999999</v>
      </c>
      <c r="P43" s="233">
        <v>124.13734599999999</v>
      </c>
      <c r="Q43" s="233">
        <v>0</v>
      </c>
      <c r="R43" s="233">
        <v>442.49763200000001</v>
      </c>
      <c r="S43" s="233">
        <v>0</v>
      </c>
      <c r="T43" s="256">
        <v>1</v>
      </c>
      <c r="U43" s="231">
        <v>1017.053596</v>
      </c>
      <c r="V43" s="255">
        <v>857.68880100000001</v>
      </c>
      <c r="W43" s="255">
        <v>0</v>
      </c>
      <c r="X43" s="255">
        <v>159.36479499999999</v>
      </c>
      <c r="Y43" s="255">
        <v>1017.053596</v>
      </c>
    </row>
    <row r="44" spans="1:25" x14ac:dyDescent="0.25">
      <c r="A44" s="230" t="s">
        <v>189</v>
      </c>
      <c r="B44" s="230" t="s">
        <v>190</v>
      </c>
      <c r="C44" s="230" t="s">
        <v>245</v>
      </c>
      <c r="D44" s="233">
        <v>476.68874799999998</v>
      </c>
      <c r="E44" s="233">
        <v>0.15</v>
      </c>
      <c r="F44" s="233">
        <v>76.397283000000002</v>
      </c>
      <c r="G44" s="233">
        <v>4.8157300000000003</v>
      </c>
      <c r="H44" s="233">
        <v>0</v>
      </c>
      <c r="I44" s="233">
        <v>0.47742899999999999</v>
      </c>
      <c r="J44" s="233">
        <v>7.9350459999999998</v>
      </c>
      <c r="K44" s="233">
        <v>218.40687500000001</v>
      </c>
      <c r="L44" s="233">
        <v>0</v>
      </c>
      <c r="M44" s="233">
        <v>0</v>
      </c>
      <c r="N44" s="233">
        <v>0</v>
      </c>
      <c r="O44" s="233">
        <v>157.720294</v>
      </c>
      <c r="P44" s="233">
        <v>43.828510000000001</v>
      </c>
      <c r="Q44" s="233">
        <v>8.6473519999999997</v>
      </c>
      <c r="R44" s="233">
        <v>159.84173100000001</v>
      </c>
      <c r="S44" s="233">
        <v>0</v>
      </c>
      <c r="T44" s="256">
        <v>1</v>
      </c>
      <c r="U44" s="231">
        <v>476.68874799999998</v>
      </c>
      <c r="V44" s="255">
        <v>367.37020100000001</v>
      </c>
      <c r="W44" s="255">
        <v>26.879842</v>
      </c>
      <c r="X44" s="255">
        <v>82.438704999999999</v>
      </c>
      <c r="Y44" s="255">
        <v>439.349221</v>
      </c>
    </row>
    <row r="45" spans="1:25" x14ac:dyDescent="0.25">
      <c r="A45" s="230" t="s">
        <v>187</v>
      </c>
      <c r="B45" s="230" t="s">
        <v>188</v>
      </c>
      <c r="C45" s="230" t="s">
        <v>244</v>
      </c>
      <c r="D45" s="233">
        <v>1449.0557369999999</v>
      </c>
      <c r="E45" s="233">
        <v>0.17241699999999999</v>
      </c>
      <c r="F45" s="233">
        <v>230.870284</v>
      </c>
      <c r="G45" s="233">
        <v>6.7483449999999996</v>
      </c>
      <c r="H45" s="233">
        <v>0.77</v>
      </c>
      <c r="I45" s="233">
        <v>16.706966000000001</v>
      </c>
      <c r="J45" s="233">
        <v>17.359551</v>
      </c>
      <c r="K45" s="233">
        <v>490.065089</v>
      </c>
      <c r="L45" s="233">
        <v>0.93891000000000002</v>
      </c>
      <c r="M45" s="233">
        <v>3.189028</v>
      </c>
      <c r="N45" s="233">
        <v>0.53</v>
      </c>
      <c r="O45" s="233">
        <v>484.07330300000001</v>
      </c>
      <c r="P45" s="233">
        <v>155.97502900000001</v>
      </c>
      <c r="Q45" s="233">
        <v>27.940816999999999</v>
      </c>
      <c r="R45" s="233">
        <v>344.94949700000001</v>
      </c>
      <c r="S45" s="233">
        <v>86.068267000000006</v>
      </c>
      <c r="T45" s="256">
        <v>1</v>
      </c>
      <c r="U45" s="231">
        <v>1449.0557369999999</v>
      </c>
      <c r="V45" s="255">
        <v>1090.531718</v>
      </c>
      <c r="W45" s="255">
        <v>51.877249999999997</v>
      </c>
      <c r="X45" s="255">
        <v>306.64676900000001</v>
      </c>
      <c r="Y45" s="255">
        <v>1337.320665</v>
      </c>
    </row>
    <row r="46" spans="1:25" x14ac:dyDescent="0.25">
      <c r="A46" s="230" t="s">
        <v>159</v>
      </c>
      <c r="B46" s="230" t="s">
        <v>160</v>
      </c>
      <c r="C46" s="230" t="s">
        <v>230</v>
      </c>
      <c r="D46" s="233">
        <v>1002.540609</v>
      </c>
      <c r="E46" s="233">
        <v>2.2968009999999999</v>
      </c>
      <c r="F46" s="233">
        <v>131.13606100000001</v>
      </c>
      <c r="G46" s="233">
        <v>6.9014660000000001</v>
      </c>
      <c r="H46" s="233">
        <v>0.159439</v>
      </c>
      <c r="I46" s="233">
        <v>3.3304390000000001</v>
      </c>
      <c r="J46" s="233">
        <v>15.253593</v>
      </c>
      <c r="K46" s="233">
        <v>360.75562600000001</v>
      </c>
      <c r="L46" s="233">
        <v>0</v>
      </c>
      <c r="M46" s="233">
        <v>2.1598609999999998</v>
      </c>
      <c r="N46" s="233">
        <v>0</v>
      </c>
      <c r="O46" s="233">
        <v>489.28509000000003</v>
      </c>
      <c r="P46" s="233">
        <v>190.15164799999999</v>
      </c>
      <c r="Q46" s="233">
        <v>123.05729599999999</v>
      </c>
      <c r="R46" s="233">
        <v>119.977076</v>
      </c>
      <c r="S46" s="233">
        <v>4.4610669999999999</v>
      </c>
      <c r="T46" s="256">
        <v>3</v>
      </c>
      <c r="U46" s="231">
        <v>1002.540609</v>
      </c>
      <c r="V46" s="255">
        <v>848.42899199999999</v>
      </c>
      <c r="W46" s="255">
        <v>18.499790000000001</v>
      </c>
      <c r="X46" s="255">
        <v>135.61182700000001</v>
      </c>
      <c r="Y46" s="255">
        <v>951.95670600000005</v>
      </c>
    </row>
    <row r="47" spans="1:25" x14ac:dyDescent="0.25">
      <c r="A47" s="230" t="s">
        <v>173</v>
      </c>
      <c r="B47" s="230" t="s">
        <v>174</v>
      </c>
      <c r="C47" s="230" t="s">
        <v>237</v>
      </c>
      <c r="D47" s="233">
        <v>525.79509199999995</v>
      </c>
      <c r="E47" s="233">
        <v>0</v>
      </c>
      <c r="F47" s="233">
        <v>97.603294000000005</v>
      </c>
      <c r="G47" s="233">
        <v>4.3025640000000003</v>
      </c>
      <c r="H47" s="233">
        <v>2</v>
      </c>
      <c r="I47" s="233">
        <v>0.13957</v>
      </c>
      <c r="J47" s="233">
        <v>3.1395780000000002</v>
      </c>
      <c r="K47" s="233">
        <v>163.868146</v>
      </c>
      <c r="L47" s="233">
        <v>0</v>
      </c>
      <c r="M47" s="233">
        <v>0</v>
      </c>
      <c r="N47" s="233">
        <v>0</v>
      </c>
      <c r="O47" s="233">
        <v>155.45246599999999</v>
      </c>
      <c r="P47" s="233">
        <v>74.084186000000003</v>
      </c>
      <c r="Q47" s="233">
        <v>0</v>
      </c>
      <c r="R47" s="233">
        <v>227.332291</v>
      </c>
      <c r="S47" s="233">
        <v>6.6312119999999997</v>
      </c>
      <c r="T47" s="256">
        <v>1</v>
      </c>
      <c r="U47" s="231">
        <v>525.79509199999995</v>
      </c>
      <c r="V47" s="255">
        <v>463.33531799999997</v>
      </c>
      <c r="W47" s="255">
        <v>0</v>
      </c>
      <c r="X47" s="255">
        <v>62.459774000000003</v>
      </c>
      <c r="Y47" s="255">
        <v>525.79509199999995</v>
      </c>
    </row>
    <row r="48" spans="1:25" x14ac:dyDescent="0.25">
      <c r="A48" s="230" t="s">
        <v>161</v>
      </c>
      <c r="B48" s="230" t="s">
        <v>162</v>
      </c>
      <c r="C48" s="230" t="s">
        <v>231</v>
      </c>
      <c r="D48" s="233">
        <v>1246.7996780000001</v>
      </c>
      <c r="E48" s="233">
        <v>1.816568</v>
      </c>
      <c r="F48" s="233">
        <v>181.069186</v>
      </c>
      <c r="G48" s="233">
        <v>8.0876610000000007</v>
      </c>
      <c r="H48" s="233">
        <v>1.1399999999999999</v>
      </c>
      <c r="I48" s="233">
        <v>2.1392000000000002</v>
      </c>
      <c r="J48" s="233">
        <v>20.576297</v>
      </c>
      <c r="K48" s="233">
        <v>266.470889</v>
      </c>
      <c r="L48" s="233">
        <v>0.40845700000000001</v>
      </c>
      <c r="M48" s="233">
        <v>1.862941</v>
      </c>
      <c r="N48" s="233">
        <v>1.1399999999999999</v>
      </c>
      <c r="O48" s="233">
        <v>453.693241</v>
      </c>
      <c r="P48" s="233">
        <v>115.98797399999999</v>
      </c>
      <c r="Q48" s="233">
        <v>0</v>
      </c>
      <c r="R48" s="233">
        <v>306.71873399999998</v>
      </c>
      <c r="S48" s="233">
        <v>22.581821000000001</v>
      </c>
      <c r="T48" s="256">
        <v>2</v>
      </c>
      <c r="U48" s="231">
        <v>1246.7996780000001</v>
      </c>
      <c r="V48" s="255">
        <v>893.62739099999999</v>
      </c>
      <c r="W48" s="255">
        <v>99.109593000000004</v>
      </c>
      <c r="X48" s="255">
        <v>254.06269399999999</v>
      </c>
      <c r="Y48" s="255">
        <v>1094.017846</v>
      </c>
    </row>
    <row r="49" spans="1:25" x14ac:dyDescent="0.25">
      <c r="A49" s="230" t="s">
        <v>175</v>
      </c>
      <c r="B49" s="230" t="s">
        <v>176</v>
      </c>
      <c r="C49" s="230" t="s">
        <v>238</v>
      </c>
      <c r="D49" s="233">
        <v>517.72178799999995</v>
      </c>
      <c r="E49" s="233">
        <v>0</v>
      </c>
      <c r="F49" s="233">
        <v>102.46945100000001</v>
      </c>
      <c r="G49" s="233">
        <v>4.2555560000000003</v>
      </c>
      <c r="H49" s="233">
        <v>2.0219779999999998</v>
      </c>
      <c r="I49" s="233">
        <v>1</v>
      </c>
      <c r="J49" s="233">
        <v>4.5</v>
      </c>
      <c r="K49" s="233">
        <v>252.016368</v>
      </c>
      <c r="L49" s="233">
        <v>0</v>
      </c>
      <c r="M49" s="233">
        <v>0</v>
      </c>
      <c r="N49" s="233">
        <v>0</v>
      </c>
      <c r="O49" s="233">
        <v>218.13806400000001</v>
      </c>
      <c r="P49" s="233">
        <v>49.526591000000003</v>
      </c>
      <c r="Q49" s="233">
        <v>0</v>
      </c>
      <c r="R49" s="233">
        <v>115.114823</v>
      </c>
      <c r="S49" s="233">
        <v>0</v>
      </c>
      <c r="T49" s="256">
        <v>1</v>
      </c>
      <c r="U49" s="231">
        <v>517.72178799999995</v>
      </c>
      <c r="V49" s="255">
        <v>381.41821199999998</v>
      </c>
      <c r="W49" s="255">
        <v>0</v>
      </c>
      <c r="X49" s="255">
        <v>136.30357599999999</v>
      </c>
      <c r="Y49" s="255">
        <v>517.72178799999995</v>
      </c>
    </row>
    <row r="50" spans="1:25" x14ac:dyDescent="0.25">
      <c r="A50" s="230" t="s">
        <v>177</v>
      </c>
      <c r="B50" s="230" t="s">
        <v>178</v>
      </c>
      <c r="C50" s="230" t="s">
        <v>239</v>
      </c>
      <c r="D50" s="233">
        <v>739.94657600000005</v>
      </c>
      <c r="E50" s="233">
        <v>1</v>
      </c>
      <c r="F50" s="233">
        <v>135.64089899999999</v>
      </c>
      <c r="G50" s="233">
        <v>5.8522730000000003</v>
      </c>
      <c r="H50" s="233">
        <v>0.19425300000000001</v>
      </c>
      <c r="I50" s="233">
        <v>2.6789770000000002</v>
      </c>
      <c r="J50" s="233">
        <v>13.664773</v>
      </c>
      <c r="K50" s="233">
        <v>354.61797000000001</v>
      </c>
      <c r="L50" s="233">
        <v>6</v>
      </c>
      <c r="M50" s="233">
        <v>9</v>
      </c>
      <c r="N50" s="233">
        <v>0</v>
      </c>
      <c r="O50" s="233">
        <v>225.35285400000001</v>
      </c>
      <c r="P50" s="233">
        <v>109.040072</v>
      </c>
      <c r="Q50" s="233">
        <v>0</v>
      </c>
      <c r="R50" s="233">
        <v>237.96648400000001</v>
      </c>
      <c r="S50" s="233">
        <v>0</v>
      </c>
      <c r="T50" s="256">
        <v>1</v>
      </c>
      <c r="U50" s="231">
        <v>739.94657600000005</v>
      </c>
      <c r="V50" s="255">
        <v>561.98149000000001</v>
      </c>
      <c r="W50" s="255">
        <v>3.03579</v>
      </c>
      <c r="X50" s="255">
        <v>174.92929599999999</v>
      </c>
      <c r="Y50" s="255">
        <v>736.319886</v>
      </c>
    </row>
    <row r="51" spans="1:25" x14ac:dyDescent="0.25">
      <c r="E51" s="231"/>
      <c r="F51" s="231"/>
      <c r="G51" s="231"/>
      <c r="H51" s="231"/>
      <c r="I51" s="231"/>
      <c r="J51" s="231"/>
      <c r="K51" s="231"/>
      <c r="L51" s="231"/>
      <c r="M51" s="231"/>
      <c r="N51" s="231"/>
      <c r="O51" s="231"/>
      <c r="P51" s="231"/>
      <c r="Q51" s="231"/>
      <c r="R51" s="231"/>
      <c r="S51" s="231"/>
    </row>
    <row r="52" spans="1:25" x14ac:dyDescent="0.25">
      <c r="A52" s="232" t="s">
        <v>914</v>
      </c>
      <c r="B52" s="230" t="s">
        <v>250</v>
      </c>
      <c r="C52" s="230" t="s">
        <v>317</v>
      </c>
      <c r="D52" s="231">
        <f>SUM(D2:D50)</f>
        <v>49204.497279000003</v>
      </c>
      <c r="E52" s="231">
        <f t="shared" ref="E52:Y52" si="0">SUM(E2:E50)</f>
        <v>40.760135000000012</v>
      </c>
      <c r="F52" s="231">
        <f t="shared" si="0"/>
        <v>7813.7687080000014</v>
      </c>
      <c r="G52" s="231">
        <f t="shared" si="0"/>
        <v>355.16766300000006</v>
      </c>
      <c r="H52" s="231">
        <f t="shared" si="0"/>
        <v>34.055531999999999</v>
      </c>
      <c r="I52" s="231">
        <f t="shared" si="0"/>
        <v>228.90486800000002</v>
      </c>
      <c r="J52" s="231">
        <f t="shared" si="0"/>
        <v>793.14170799999988</v>
      </c>
      <c r="K52" s="231">
        <f t="shared" si="0"/>
        <v>19812.854933999999</v>
      </c>
      <c r="L52" s="231">
        <f t="shared" si="0"/>
        <v>18.977434000000002</v>
      </c>
      <c r="M52" s="231">
        <f t="shared" si="0"/>
        <v>401.04186799999991</v>
      </c>
      <c r="N52" s="231">
        <f t="shared" si="0"/>
        <v>40.440718000000004</v>
      </c>
      <c r="O52" s="231">
        <f t="shared" si="0"/>
        <v>15877.281879000006</v>
      </c>
      <c r="P52" s="231">
        <f t="shared" si="0"/>
        <v>7451.7317910000011</v>
      </c>
      <c r="Q52" s="231">
        <f t="shared" si="0"/>
        <v>981.64834900000005</v>
      </c>
      <c r="R52" s="231">
        <f t="shared" si="0"/>
        <v>13732.191009999999</v>
      </c>
      <c r="S52" s="231">
        <f t="shared" si="0"/>
        <v>508.131621</v>
      </c>
      <c r="T52" s="231">
        <f t="shared" si="0"/>
        <v>65</v>
      </c>
      <c r="U52" s="231">
        <f t="shared" si="0"/>
        <v>49230.915150333334</v>
      </c>
      <c r="V52" s="231">
        <f t="shared" si="0"/>
        <v>38135.719668333317</v>
      </c>
      <c r="W52" s="231">
        <f t="shared" si="0"/>
        <v>1636.7299670000002</v>
      </c>
      <c r="X52" s="231">
        <f t="shared" si="0"/>
        <v>9458.4655150000017</v>
      </c>
      <c r="Y52" s="231">
        <f t="shared" si="0"/>
        <v>46310.908782333339</v>
      </c>
    </row>
    <row r="59" spans="1:25" x14ac:dyDescent="0.25">
      <c r="E59" s="231"/>
      <c r="F59" s="231"/>
      <c r="G59" s="231"/>
      <c r="H59" s="231"/>
      <c r="I59" s="231"/>
      <c r="J59" s="231"/>
      <c r="K59" s="231"/>
      <c r="L59" s="231"/>
      <c r="M59" s="231"/>
      <c r="N59" s="231"/>
      <c r="O59" s="231"/>
      <c r="P59" s="231"/>
      <c r="Q59" s="231"/>
      <c r="R59" s="231"/>
      <c r="S59" s="231"/>
    </row>
  </sheetData>
  <sheetProtection algorithmName="SHA-512" hashValue="+LuH0HNrOZCCzJeO/LSTyY84ssuvVX5MXDMC9hmjKPcne/HZGnsiZi6eMPcmoapJSjOtO8LSfupq2EvswEqkSA==" saltValue="oy5ZUbdtWUHUE1Te5F2hEA==" spinCount="100000" sheet="1" formatCells="0" autoFilter="0"/>
  <autoFilter ref="A1:Y50" xr:uid="{CC7FED13-F5AF-45CA-8714-187D6631B4C0}">
    <sortState xmlns:xlrd2="http://schemas.microsoft.com/office/spreadsheetml/2017/richdata2" ref="A2:Y50">
      <sortCondition ref="B1"/>
    </sortState>
  </autoFilter>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EFD6B-05C8-4DEA-9D80-BD2FBC6063CD}">
  <sheetPr>
    <tabColor theme="4" tint="0.79998168889431442"/>
  </sheetPr>
  <dimension ref="A1:F52"/>
  <sheetViews>
    <sheetView workbookViewId="0">
      <pane xSplit="3" ySplit="1" topLeftCell="D2" activePane="bottomRight" state="frozen"/>
      <selection pane="topRight" activeCell="D1" sqref="D1"/>
      <selection pane="bottomLeft" activeCell="A3" sqref="A3"/>
      <selection pane="bottomRight"/>
    </sheetView>
  </sheetViews>
  <sheetFormatPr defaultColWidth="9.140625" defaultRowHeight="15" x14ac:dyDescent="0.25"/>
  <cols>
    <col min="1" max="1" width="7.5703125" style="230" bestFit="1" customWidth="1"/>
    <col min="2" max="2" width="46" style="230" bestFit="1" customWidth="1"/>
    <col min="3" max="3" width="13.140625" style="230" bestFit="1" customWidth="1"/>
    <col min="4" max="6" width="19.28515625" style="230" bestFit="1" customWidth="1"/>
    <col min="7" max="16384" width="9.140625" style="230"/>
  </cols>
  <sheetData>
    <row r="1" spans="1:6" s="235" customFormat="1" ht="57" customHeight="1" x14ac:dyDescent="0.25">
      <c r="A1" s="227" t="s">
        <v>970</v>
      </c>
      <c r="B1" s="227" t="s">
        <v>971</v>
      </c>
      <c r="C1" s="234" t="s">
        <v>972</v>
      </c>
      <c r="D1" s="227" t="s">
        <v>959</v>
      </c>
      <c r="E1" s="227" t="s">
        <v>960</v>
      </c>
      <c r="F1" s="227" t="s">
        <v>961</v>
      </c>
    </row>
    <row r="2" spans="1:6" x14ac:dyDescent="0.25">
      <c r="A2" s="230" t="s">
        <v>101</v>
      </c>
      <c r="B2" s="230" t="s">
        <v>102</v>
      </c>
      <c r="C2" s="230" t="s">
        <v>202</v>
      </c>
      <c r="D2" s="238">
        <v>3081470730</v>
      </c>
      <c r="E2" s="237">
        <v>2796930800</v>
      </c>
      <c r="F2" s="237">
        <v>2742167290</v>
      </c>
    </row>
    <row r="3" spans="1:6" x14ac:dyDescent="0.25">
      <c r="A3" s="230" t="s">
        <v>181</v>
      </c>
      <c r="B3" s="230" t="s">
        <v>182</v>
      </c>
      <c r="C3" s="230" t="s">
        <v>241</v>
      </c>
      <c r="D3" s="238">
        <v>2438985210</v>
      </c>
      <c r="E3" s="237">
        <v>2090578940</v>
      </c>
      <c r="F3" s="237">
        <v>1950601230</v>
      </c>
    </row>
    <row r="4" spans="1:6" x14ac:dyDescent="0.25">
      <c r="A4" s="230" t="s">
        <v>105</v>
      </c>
      <c r="B4" s="230" t="s">
        <v>106</v>
      </c>
      <c r="C4" s="230" t="s">
        <v>204</v>
      </c>
      <c r="D4" s="238">
        <v>2626740790</v>
      </c>
      <c r="E4" s="237">
        <v>2070410980</v>
      </c>
      <c r="F4" s="237">
        <v>2036640000</v>
      </c>
    </row>
    <row r="5" spans="1:6" x14ac:dyDescent="0.25">
      <c r="A5" s="230" t="s">
        <v>133</v>
      </c>
      <c r="B5" s="230" t="s">
        <v>134</v>
      </c>
      <c r="C5" s="230" t="s">
        <v>217</v>
      </c>
      <c r="D5" s="238">
        <v>6046511300</v>
      </c>
      <c r="E5" s="237">
        <v>5362553250</v>
      </c>
      <c r="F5" s="237">
        <v>5293737090</v>
      </c>
    </row>
    <row r="6" spans="1:6" x14ac:dyDescent="0.25">
      <c r="A6" s="230" t="s">
        <v>107</v>
      </c>
      <c r="B6" s="230" t="s">
        <v>108</v>
      </c>
      <c r="C6" s="230" t="s">
        <v>205</v>
      </c>
      <c r="D6" s="238">
        <v>3086011510</v>
      </c>
      <c r="E6" s="237">
        <v>2999307950</v>
      </c>
      <c r="F6" s="237">
        <v>2769173330</v>
      </c>
    </row>
    <row r="7" spans="1:6" x14ac:dyDescent="0.25">
      <c r="A7" s="230" t="s">
        <v>171</v>
      </c>
      <c r="B7" s="230" t="s">
        <v>172</v>
      </c>
      <c r="C7" s="230" t="s">
        <v>236</v>
      </c>
      <c r="D7" s="238">
        <v>4848569530</v>
      </c>
      <c r="E7" s="237">
        <v>4720346620</v>
      </c>
      <c r="F7" s="237">
        <v>4007795480</v>
      </c>
    </row>
    <row r="8" spans="1:6" x14ac:dyDescent="0.25">
      <c r="A8" s="230" t="s">
        <v>109</v>
      </c>
      <c r="B8" s="230" t="s">
        <v>110</v>
      </c>
      <c r="C8" s="230" t="s">
        <v>206</v>
      </c>
      <c r="D8" s="238">
        <v>15459268610</v>
      </c>
      <c r="E8" s="237">
        <v>11770553830</v>
      </c>
      <c r="F8" s="237">
        <v>11552228010</v>
      </c>
    </row>
    <row r="9" spans="1:6" x14ac:dyDescent="0.25">
      <c r="A9" s="230" t="s">
        <v>137</v>
      </c>
      <c r="B9" s="230" t="s">
        <v>138</v>
      </c>
      <c r="C9" s="230" t="s">
        <v>219</v>
      </c>
      <c r="D9" s="238">
        <v>8082052928</v>
      </c>
      <c r="E9" s="237">
        <v>5906141434</v>
      </c>
      <c r="F9" s="237">
        <v>5664657616</v>
      </c>
    </row>
    <row r="10" spans="1:6" x14ac:dyDescent="0.25">
      <c r="A10" s="230" t="s">
        <v>111</v>
      </c>
      <c r="B10" s="230" t="s">
        <v>112</v>
      </c>
      <c r="C10" s="230" t="s">
        <v>207</v>
      </c>
      <c r="D10" s="238">
        <v>1871554020</v>
      </c>
      <c r="E10" s="237">
        <v>1816620030</v>
      </c>
      <c r="F10" s="237">
        <v>1589813270</v>
      </c>
    </row>
    <row r="11" spans="1:6" x14ac:dyDescent="0.25">
      <c r="A11" s="230" t="s">
        <v>195</v>
      </c>
      <c r="B11" s="230" t="s">
        <v>196</v>
      </c>
      <c r="C11" s="230" t="s">
        <v>248</v>
      </c>
      <c r="D11" s="238">
        <v>826389739</v>
      </c>
      <c r="E11" s="237">
        <v>819629291</v>
      </c>
      <c r="F11" s="237">
        <v>817874100</v>
      </c>
    </row>
    <row r="12" spans="1:6" x14ac:dyDescent="0.25">
      <c r="A12" s="230" t="s">
        <v>113</v>
      </c>
      <c r="B12" s="230" t="s">
        <v>114</v>
      </c>
      <c r="C12" s="230" t="s">
        <v>208</v>
      </c>
      <c r="D12" s="238">
        <v>8340464650</v>
      </c>
      <c r="E12" s="237">
        <v>7444095020</v>
      </c>
      <c r="F12" s="237">
        <v>7337358960</v>
      </c>
    </row>
    <row r="13" spans="1:6" x14ac:dyDescent="0.25">
      <c r="A13" s="230" t="s">
        <v>119</v>
      </c>
      <c r="B13" s="230" t="s">
        <v>120</v>
      </c>
      <c r="C13" s="230" t="s">
        <v>210</v>
      </c>
      <c r="D13" s="238">
        <v>11123109920</v>
      </c>
      <c r="E13" s="237">
        <v>8271095870</v>
      </c>
      <c r="F13" s="237">
        <v>7931762900</v>
      </c>
    </row>
    <row r="14" spans="1:6" x14ac:dyDescent="0.25">
      <c r="A14" s="230" t="s">
        <v>121</v>
      </c>
      <c r="B14" s="230" t="s">
        <v>122</v>
      </c>
      <c r="C14" s="230" t="s">
        <v>211</v>
      </c>
      <c r="D14" s="238">
        <v>14215953940</v>
      </c>
      <c r="E14" s="237">
        <v>11516530860</v>
      </c>
      <c r="F14" s="237">
        <v>10514757200</v>
      </c>
    </row>
    <row r="15" spans="1:6" x14ac:dyDescent="0.25">
      <c r="A15" s="230" t="s">
        <v>123</v>
      </c>
      <c r="B15" s="230" t="s">
        <v>124</v>
      </c>
      <c r="C15" s="230" t="s">
        <v>212</v>
      </c>
      <c r="D15" s="238">
        <v>4367060820</v>
      </c>
      <c r="E15" s="237">
        <v>4278638810</v>
      </c>
      <c r="F15" s="237">
        <v>4212125880</v>
      </c>
    </row>
    <row r="16" spans="1:6" x14ac:dyDescent="0.25">
      <c r="A16" s="230" t="s">
        <v>117</v>
      </c>
      <c r="B16" s="230" t="s">
        <v>118</v>
      </c>
      <c r="C16" s="230" t="s">
        <v>209</v>
      </c>
      <c r="D16" s="238">
        <v>4884682800</v>
      </c>
      <c r="E16" s="237">
        <v>4120313540</v>
      </c>
      <c r="F16" s="237">
        <v>4097155930</v>
      </c>
    </row>
    <row r="17" spans="1:6" x14ac:dyDescent="0.25">
      <c r="A17" s="230" t="s">
        <v>183</v>
      </c>
      <c r="B17" s="230" t="s">
        <v>184</v>
      </c>
      <c r="C17" s="230" t="s">
        <v>242</v>
      </c>
      <c r="D17" s="238">
        <v>2478245940</v>
      </c>
      <c r="E17" s="237">
        <v>2253480870</v>
      </c>
      <c r="F17" s="237">
        <v>1991109380</v>
      </c>
    </row>
    <row r="18" spans="1:6" x14ac:dyDescent="0.25">
      <c r="A18" s="230" t="s">
        <v>127</v>
      </c>
      <c r="B18" s="230" t="s">
        <v>128</v>
      </c>
      <c r="C18" s="230" t="s">
        <v>214</v>
      </c>
      <c r="D18" s="238">
        <v>29196616270</v>
      </c>
      <c r="E18" s="237">
        <v>23630130110</v>
      </c>
      <c r="F18" s="237">
        <v>23189159550</v>
      </c>
    </row>
    <row r="19" spans="1:6" x14ac:dyDescent="0.25">
      <c r="A19" s="230" t="s">
        <v>125</v>
      </c>
      <c r="B19" s="230" t="s">
        <v>126</v>
      </c>
      <c r="C19" s="230" t="s">
        <v>213</v>
      </c>
      <c r="D19" s="238">
        <v>6295582980</v>
      </c>
      <c r="E19" s="237">
        <v>4949250510</v>
      </c>
      <c r="F19" s="237">
        <v>4873472040</v>
      </c>
    </row>
    <row r="20" spans="1:6" x14ac:dyDescent="0.25">
      <c r="A20" s="230" t="s">
        <v>129</v>
      </c>
      <c r="B20" s="230" t="s">
        <v>130</v>
      </c>
      <c r="C20" s="230" t="s">
        <v>215</v>
      </c>
      <c r="D20" s="238">
        <v>2023962740</v>
      </c>
      <c r="E20" s="237">
        <v>1936295920</v>
      </c>
      <c r="F20" s="237">
        <v>1898001910</v>
      </c>
    </row>
    <row r="21" spans="1:6" x14ac:dyDescent="0.25">
      <c r="A21" s="230" t="s">
        <v>131</v>
      </c>
      <c r="B21" s="230" t="s">
        <v>132</v>
      </c>
      <c r="C21" s="230" t="s">
        <v>216</v>
      </c>
      <c r="D21" s="238">
        <v>2533561263</v>
      </c>
      <c r="E21" s="237">
        <v>1890727928</v>
      </c>
      <c r="F21" s="237">
        <v>1851500264</v>
      </c>
    </row>
    <row r="22" spans="1:6" x14ac:dyDescent="0.25">
      <c r="A22" s="230" t="s">
        <v>135</v>
      </c>
      <c r="B22" s="230" t="s">
        <v>136</v>
      </c>
      <c r="C22" s="230" t="s">
        <v>218</v>
      </c>
      <c r="D22" s="238">
        <v>1826135910</v>
      </c>
      <c r="E22" s="237">
        <v>1822360820</v>
      </c>
      <c r="F22" s="237">
        <v>1507517140</v>
      </c>
    </row>
    <row r="23" spans="1:6" x14ac:dyDescent="0.25">
      <c r="A23" s="230" t="s">
        <v>139</v>
      </c>
      <c r="B23" s="230" t="s">
        <v>140</v>
      </c>
      <c r="C23" s="230" t="s">
        <v>220</v>
      </c>
      <c r="D23" s="238">
        <v>8231790920</v>
      </c>
      <c r="E23" s="237">
        <v>8094981140</v>
      </c>
      <c r="F23" s="237">
        <v>7950688080</v>
      </c>
    </row>
    <row r="24" spans="1:6" x14ac:dyDescent="0.25">
      <c r="A24" s="230" t="s">
        <v>141</v>
      </c>
      <c r="B24" s="230" t="s">
        <v>142</v>
      </c>
      <c r="C24" s="230" t="s">
        <v>221</v>
      </c>
      <c r="D24" s="238">
        <v>5654414610</v>
      </c>
      <c r="E24" s="237">
        <v>4337021710</v>
      </c>
      <c r="F24" s="237">
        <v>4258618810</v>
      </c>
    </row>
    <row r="25" spans="1:6" x14ac:dyDescent="0.25">
      <c r="A25" s="230" t="s">
        <v>153</v>
      </c>
      <c r="B25" s="230" t="s">
        <v>154</v>
      </c>
      <c r="C25" s="230" t="s">
        <v>227</v>
      </c>
      <c r="D25" s="238">
        <v>3105485680</v>
      </c>
      <c r="E25" s="237">
        <v>3053705510</v>
      </c>
      <c r="F25" s="237">
        <v>2995941890</v>
      </c>
    </row>
    <row r="26" spans="1:6" x14ac:dyDescent="0.25">
      <c r="A26" s="230" t="s">
        <v>185</v>
      </c>
      <c r="B26" s="230" t="s">
        <v>186</v>
      </c>
      <c r="C26" s="230" t="s">
        <v>243</v>
      </c>
      <c r="D26" s="238">
        <v>6945448560</v>
      </c>
      <c r="E26" s="237">
        <v>6791351130</v>
      </c>
      <c r="F26" s="237">
        <v>5558179360</v>
      </c>
    </row>
    <row r="27" spans="1:6" x14ac:dyDescent="0.25">
      <c r="A27" s="230" t="s">
        <v>143</v>
      </c>
      <c r="B27" s="230" t="s">
        <v>144</v>
      </c>
      <c r="C27" s="230" t="s">
        <v>222</v>
      </c>
      <c r="D27" s="238">
        <v>10357544400</v>
      </c>
      <c r="E27" s="237">
        <v>8250538660</v>
      </c>
      <c r="F27" s="237">
        <v>7919787430</v>
      </c>
    </row>
    <row r="28" spans="1:6" x14ac:dyDescent="0.25">
      <c r="A28" s="230" t="s">
        <v>145</v>
      </c>
      <c r="B28" s="230" t="s">
        <v>146</v>
      </c>
      <c r="C28" s="230" t="s">
        <v>223</v>
      </c>
      <c r="D28" s="238">
        <v>5410503444</v>
      </c>
      <c r="E28" s="237">
        <v>5148441772</v>
      </c>
      <c r="F28" s="237">
        <v>4922794693</v>
      </c>
    </row>
    <row r="29" spans="1:6" x14ac:dyDescent="0.25">
      <c r="A29" s="230" t="s">
        <v>147</v>
      </c>
      <c r="B29" s="230" t="s">
        <v>148</v>
      </c>
      <c r="C29" s="230" t="s">
        <v>224</v>
      </c>
      <c r="D29" s="238">
        <v>4735266750</v>
      </c>
      <c r="E29" s="237">
        <v>4519489260</v>
      </c>
      <c r="F29" s="237">
        <v>3787994660</v>
      </c>
    </row>
    <row r="30" spans="1:6" x14ac:dyDescent="0.25">
      <c r="A30" s="230" t="s">
        <v>149</v>
      </c>
      <c r="B30" s="230" t="s">
        <v>150</v>
      </c>
      <c r="C30" s="230" t="s">
        <v>225</v>
      </c>
      <c r="D30" s="238">
        <v>8656896980</v>
      </c>
      <c r="E30" s="237">
        <v>7754573150</v>
      </c>
      <c r="F30" s="237">
        <v>7659083780</v>
      </c>
    </row>
    <row r="31" spans="1:6" x14ac:dyDescent="0.25">
      <c r="A31" s="230" t="s">
        <v>157</v>
      </c>
      <c r="B31" s="230" t="s">
        <v>158</v>
      </c>
      <c r="C31" s="230" t="s">
        <v>229</v>
      </c>
      <c r="D31" s="238">
        <v>3257018140</v>
      </c>
      <c r="E31" s="237">
        <v>2924019290</v>
      </c>
      <c r="F31" s="237">
        <v>2593188030</v>
      </c>
    </row>
    <row r="32" spans="1:6" x14ac:dyDescent="0.25">
      <c r="A32" s="230" t="s">
        <v>151</v>
      </c>
      <c r="B32" s="230" t="s">
        <v>152</v>
      </c>
      <c r="C32" s="230" t="s">
        <v>226</v>
      </c>
      <c r="D32" s="238">
        <v>737562040</v>
      </c>
      <c r="E32" s="237">
        <v>602527400</v>
      </c>
      <c r="F32" s="237">
        <v>585933990</v>
      </c>
    </row>
    <row r="33" spans="1:6" x14ac:dyDescent="0.25">
      <c r="A33" s="230" t="s">
        <v>155</v>
      </c>
      <c r="B33" s="230" t="s">
        <v>156</v>
      </c>
      <c r="C33" s="230" t="s">
        <v>228</v>
      </c>
      <c r="D33" s="238">
        <v>3781505840</v>
      </c>
      <c r="E33" s="237">
        <v>3259228280</v>
      </c>
      <c r="F33" s="237">
        <v>3065141420</v>
      </c>
    </row>
    <row r="34" spans="1:6" x14ac:dyDescent="0.25">
      <c r="A34" s="230" t="s">
        <v>115</v>
      </c>
      <c r="B34" s="230" t="s">
        <v>116</v>
      </c>
      <c r="C34" s="230" t="s">
        <v>208</v>
      </c>
      <c r="D34" s="238">
        <v>6106182010</v>
      </c>
      <c r="E34" s="237">
        <v>6091599770</v>
      </c>
      <c r="F34" s="237">
        <v>6048691810</v>
      </c>
    </row>
    <row r="35" spans="1:6" x14ac:dyDescent="0.25">
      <c r="A35" s="230" t="s">
        <v>191</v>
      </c>
      <c r="B35" s="230" t="s">
        <v>192</v>
      </c>
      <c r="C35" s="230" t="s">
        <v>246</v>
      </c>
      <c r="D35" s="238">
        <v>2636487690</v>
      </c>
      <c r="E35" s="237">
        <v>2074754360</v>
      </c>
      <c r="F35" s="237">
        <v>2040375130</v>
      </c>
    </row>
    <row r="36" spans="1:6" x14ac:dyDescent="0.25">
      <c r="A36" s="230" t="s">
        <v>163</v>
      </c>
      <c r="B36" s="230" t="s">
        <v>164</v>
      </c>
      <c r="C36" s="230" t="s">
        <v>232</v>
      </c>
      <c r="D36" s="238">
        <v>1392380440</v>
      </c>
      <c r="E36" s="237">
        <v>1391144580</v>
      </c>
      <c r="F36" s="237">
        <v>1218126450</v>
      </c>
    </row>
    <row r="37" spans="1:6" x14ac:dyDescent="0.25">
      <c r="A37" s="230" t="s">
        <v>103</v>
      </c>
      <c r="B37" s="230" t="s">
        <v>104</v>
      </c>
      <c r="C37" s="230" t="s">
        <v>203</v>
      </c>
      <c r="D37" s="238">
        <v>1133910060</v>
      </c>
      <c r="E37" s="237">
        <v>1117951250</v>
      </c>
      <c r="F37" s="237">
        <v>1098931840</v>
      </c>
    </row>
    <row r="38" spans="1:6" x14ac:dyDescent="0.25">
      <c r="A38" s="230" t="s">
        <v>165</v>
      </c>
      <c r="B38" s="230" t="s">
        <v>166</v>
      </c>
      <c r="C38" s="230" t="s">
        <v>233</v>
      </c>
      <c r="D38" s="238">
        <v>3198433870</v>
      </c>
      <c r="E38" s="237">
        <v>3187915330</v>
      </c>
      <c r="F38" s="237">
        <v>2643671980</v>
      </c>
    </row>
    <row r="39" spans="1:6" x14ac:dyDescent="0.25">
      <c r="A39" s="230" t="s">
        <v>179</v>
      </c>
      <c r="B39" s="230" t="s">
        <v>180</v>
      </c>
      <c r="C39" s="230" t="s">
        <v>240</v>
      </c>
      <c r="D39" s="238">
        <v>2154475500</v>
      </c>
      <c r="E39" s="237">
        <v>2104356490</v>
      </c>
      <c r="F39" s="237">
        <v>2030323980</v>
      </c>
    </row>
    <row r="40" spans="1:6" x14ac:dyDescent="0.25">
      <c r="A40" s="230" t="s">
        <v>193</v>
      </c>
      <c r="B40" s="230" t="s">
        <v>194</v>
      </c>
      <c r="C40" s="230" t="s">
        <v>247</v>
      </c>
      <c r="D40" s="238">
        <v>12389567000</v>
      </c>
      <c r="E40" s="237">
        <v>9789001680</v>
      </c>
      <c r="F40" s="237">
        <v>9380902150</v>
      </c>
    </row>
    <row r="41" spans="1:6" x14ac:dyDescent="0.25">
      <c r="A41" s="230" t="s">
        <v>167</v>
      </c>
      <c r="B41" s="230" t="s">
        <v>168</v>
      </c>
      <c r="C41" s="230" t="s">
        <v>234</v>
      </c>
      <c r="D41" s="238">
        <v>3046328140</v>
      </c>
      <c r="E41" s="237">
        <v>2805870840</v>
      </c>
      <c r="F41" s="237">
        <v>2584518950</v>
      </c>
    </row>
    <row r="42" spans="1:6" x14ac:dyDescent="0.25">
      <c r="A42" s="230" t="s">
        <v>197</v>
      </c>
      <c r="B42" s="230" t="s">
        <v>198</v>
      </c>
      <c r="C42" s="230" t="s">
        <v>249</v>
      </c>
      <c r="D42" s="238">
        <v>2843523720</v>
      </c>
      <c r="E42" s="237">
        <v>2524741070</v>
      </c>
      <c r="F42" s="237">
        <v>2192471680</v>
      </c>
    </row>
    <row r="43" spans="1:6" x14ac:dyDescent="0.25">
      <c r="A43" s="230" t="s">
        <v>169</v>
      </c>
      <c r="B43" s="230" t="s">
        <v>170</v>
      </c>
      <c r="C43" s="230" t="s">
        <v>235</v>
      </c>
      <c r="D43" s="238">
        <v>4829164670</v>
      </c>
      <c r="E43" s="237">
        <v>3763640410</v>
      </c>
      <c r="F43" s="237">
        <v>3705438780</v>
      </c>
    </row>
    <row r="44" spans="1:6" x14ac:dyDescent="0.25">
      <c r="A44" s="230" t="s">
        <v>189</v>
      </c>
      <c r="B44" s="230" t="s">
        <v>190</v>
      </c>
      <c r="C44" s="230" t="s">
        <v>245</v>
      </c>
      <c r="D44" s="238">
        <v>1105540490</v>
      </c>
      <c r="E44" s="237">
        <v>931592920</v>
      </c>
      <c r="F44" s="237">
        <v>921456140</v>
      </c>
    </row>
    <row r="45" spans="1:6" x14ac:dyDescent="0.25">
      <c r="A45" s="230" t="s">
        <v>187</v>
      </c>
      <c r="B45" s="230" t="s">
        <v>188</v>
      </c>
      <c r="C45" s="230" t="s">
        <v>244</v>
      </c>
      <c r="D45" s="238">
        <v>3559755610</v>
      </c>
      <c r="E45" s="237">
        <v>3098304850</v>
      </c>
      <c r="F45" s="237">
        <v>2804845020</v>
      </c>
    </row>
    <row r="46" spans="1:6" x14ac:dyDescent="0.25">
      <c r="A46" s="230" t="s">
        <v>159</v>
      </c>
      <c r="B46" s="230" t="s">
        <v>160</v>
      </c>
      <c r="C46" s="230" t="s">
        <v>230</v>
      </c>
      <c r="D46" s="238">
        <v>4461936840</v>
      </c>
      <c r="E46" s="237">
        <v>4057924350</v>
      </c>
      <c r="F46" s="237">
        <v>3955887730</v>
      </c>
    </row>
    <row r="47" spans="1:6" x14ac:dyDescent="0.25">
      <c r="A47" s="230" t="s">
        <v>173</v>
      </c>
      <c r="B47" s="230" t="s">
        <v>174</v>
      </c>
      <c r="C47" s="230" t="s">
        <v>237</v>
      </c>
      <c r="D47" s="238">
        <v>2425268480</v>
      </c>
      <c r="E47" s="237">
        <v>1943033800</v>
      </c>
      <c r="F47" s="237">
        <v>1842476620</v>
      </c>
    </row>
    <row r="48" spans="1:6" x14ac:dyDescent="0.25">
      <c r="A48" s="230" t="s">
        <v>161</v>
      </c>
      <c r="B48" s="230" t="s">
        <v>162</v>
      </c>
      <c r="C48" s="230" t="s">
        <v>231</v>
      </c>
      <c r="D48" s="238">
        <v>6705904770</v>
      </c>
      <c r="E48" s="237">
        <v>6475390730</v>
      </c>
      <c r="F48" s="237">
        <v>6314758940</v>
      </c>
    </row>
    <row r="49" spans="1:6" x14ac:dyDescent="0.25">
      <c r="A49" s="230" t="s">
        <v>175</v>
      </c>
      <c r="B49" s="230" t="s">
        <v>176</v>
      </c>
      <c r="C49" s="230" t="s">
        <v>238</v>
      </c>
      <c r="D49" s="238">
        <v>1975176040</v>
      </c>
      <c r="E49" s="237">
        <v>1986960650</v>
      </c>
      <c r="F49" s="237">
        <v>1727953220</v>
      </c>
    </row>
    <row r="50" spans="1:6" x14ac:dyDescent="0.25">
      <c r="A50" s="230" t="s">
        <v>177</v>
      </c>
      <c r="B50" s="230" t="s">
        <v>178</v>
      </c>
      <c r="C50" s="230" t="s">
        <v>239</v>
      </c>
      <c r="D50" s="238">
        <v>4201921910</v>
      </c>
      <c r="E50" s="237">
        <v>3375711010</v>
      </c>
      <c r="F50" s="237">
        <v>3323384690</v>
      </c>
    </row>
    <row r="51" spans="1:6" x14ac:dyDescent="0.25">
      <c r="D51" s="236"/>
      <c r="E51" s="237"/>
      <c r="F51" s="237"/>
    </row>
    <row r="52" spans="1:6" x14ac:dyDescent="0.25">
      <c r="A52" s="232" t="s">
        <v>914</v>
      </c>
      <c r="B52" s="230" t="s">
        <v>250</v>
      </c>
      <c r="C52" s="230" t="s">
        <v>317</v>
      </c>
      <c r="D52" s="236">
        <f>SUM(D2:D50)</f>
        <v>260692326204</v>
      </c>
      <c r="E52" s="237">
        <f t="shared" ref="E52:F52" si="0">SUM(E2:E50)</f>
        <v>223921764775</v>
      </c>
      <c r="F52" s="237">
        <f t="shared" si="0"/>
        <v>212960175823</v>
      </c>
    </row>
  </sheetData>
  <sheetProtection algorithmName="SHA-512" hashValue="LNjnspx6d3eDcHp0vMRPqjPnQQQDe6B/mrr1CQk0X/INfjKdBsO4Pppugmq3+JzW3zQPnCGkakT8jCEZddIwnw==" saltValue="mWxp+dz6Q0vYMQ2+Mg2ZIQ==" spinCount="100000" sheet="1" formatCells="0" autoFilter="0"/>
  <autoFilter ref="A1:F50" xr:uid="{A2B5630B-8F2B-4277-913C-4EBB6950247B}">
    <sortState xmlns:xlrd2="http://schemas.microsoft.com/office/spreadsheetml/2017/richdata2" ref="A2:F50">
      <sortCondition ref="B1:B50"/>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0F61E-E1A9-4387-BA4F-A850EB18B911}">
  <dimension ref="A1:H54"/>
  <sheetViews>
    <sheetView workbookViewId="0">
      <pane xSplit="3" ySplit="4" topLeftCell="D47" activePane="bottomRight" state="frozen"/>
      <selection pane="topRight" activeCell="D1" sqref="D1"/>
      <selection pane="bottomLeft" activeCell="A3" sqref="A3"/>
      <selection pane="bottomRight" activeCell="E64" sqref="E64"/>
    </sheetView>
  </sheetViews>
  <sheetFormatPr defaultRowHeight="15" x14ac:dyDescent="0.25"/>
  <cols>
    <col min="1" max="1" width="7.5703125" bestFit="1" customWidth="1"/>
    <col min="2" max="2" width="46" bestFit="1" customWidth="1"/>
    <col min="3" max="3" width="13.140625" bestFit="1" customWidth="1"/>
    <col min="4" max="4" width="11.7109375" bestFit="1" customWidth="1"/>
    <col min="5" max="5" width="13.7109375" customWidth="1"/>
    <col min="6" max="6" width="18.5703125" customWidth="1"/>
    <col min="7" max="7" width="13.85546875" customWidth="1"/>
    <col min="8" max="8" width="14.28515625" bestFit="1" customWidth="1"/>
    <col min="9" max="15" width="11.7109375" bestFit="1" customWidth="1"/>
  </cols>
  <sheetData>
    <row r="1" spans="1:8" x14ac:dyDescent="0.25">
      <c r="B1" s="16"/>
      <c r="C1" s="9"/>
      <c r="F1" t="s">
        <v>406</v>
      </c>
      <c r="G1" s="16"/>
      <c r="H1" s="9">
        <v>422</v>
      </c>
    </row>
    <row r="2" spans="1:8" x14ac:dyDescent="0.25">
      <c r="F2" t="s">
        <v>407</v>
      </c>
      <c r="H2" s="20">
        <f>'Detailed SFPR'!L13</f>
        <v>0.40266299999999999</v>
      </c>
    </row>
    <row r="4" spans="1:8" s="4" customFormat="1" ht="45" x14ac:dyDescent="0.25">
      <c r="A4" s="4" t="s">
        <v>93</v>
      </c>
      <c r="B4" s="3" t="s">
        <v>940</v>
      </c>
      <c r="C4" s="4" t="s">
        <v>95</v>
      </c>
      <c r="D4" s="3" t="s">
        <v>408</v>
      </c>
      <c r="E4" s="3" t="s">
        <v>409</v>
      </c>
      <c r="F4" s="3" t="s">
        <v>410</v>
      </c>
      <c r="G4" s="3" t="s">
        <v>411</v>
      </c>
      <c r="H4" s="2" t="s">
        <v>412</v>
      </c>
    </row>
    <row r="5" spans="1:8" x14ac:dyDescent="0.25">
      <c r="A5" t="s">
        <v>101</v>
      </c>
      <c r="B5" t="s">
        <v>102</v>
      </c>
      <c r="C5" t="s">
        <v>202</v>
      </c>
      <c r="D5" s="1">
        <f>VLOOKUP(A5,'ADM Data'!$A$2:$D$52,4,FALSE)</f>
        <v>1042.3432290000001</v>
      </c>
      <c r="E5" s="1">
        <f>VLOOKUP(A5,'ADM Data'!$A$2:$S$52,11,FALSE)</f>
        <v>397.75216999999998</v>
      </c>
      <c r="F5" s="20">
        <f>ROUND(E5/D5,9)</f>
        <v>0.38159423799999997</v>
      </c>
      <c r="G5" s="15">
        <f>((F5/$H$2)^2)</f>
        <v>0.89809063323785532</v>
      </c>
      <c r="H5" s="9">
        <f>ROUND($H$1*E5*G5,2)</f>
        <v>150745.78</v>
      </c>
    </row>
    <row r="6" spans="1:8" x14ac:dyDescent="0.25">
      <c r="A6" t="s">
        <v>103</v>
      </c>
      <c r="B6" t="s">
        <v>104</v>
      </c>
      <c r="C6" t="s">
        <v>203</v>
      </c>
      <c r="D6" s="1">
        <f>VLOOKUP(A6,'ADM Data'!$A$2:$D$52,4,FALSE)</f>
        <v>600.24709800000005</v>
      </c>
      <c r="E6" s="1">
        <f>VLOOKUP(A6,'ADM Data'!$A$2:$S$52,11,FALSE)</f>
        <v>234.33984599999999</v>
      </c>
      <c r="F6" s="20">
        <f t="shared" ref="F6:F53" si="0">ROUND(E6/D6,9)</f>
        <v>0.39040562899999998</v>
      </c>
      <c r="G6" s="15">
        <f t="shared" ref="G6:G54" si="1">((F6/$H$2)^2)</f>
        <v>0.94004510418876497</v>
      </c>
      <c r="H6" s="9">
        <f t="shared" ref="H6:H53" si="2">ROUND($H$1*E6*G6,2)</f>
        <v>92962.39</v>
      </c>
    </row>
    <row r="7" spans="1:8" x14ac:dyDescent="0.25">
      <c r="A7" t="s">
        <v>105</v>
      </c>
      <c r="B7" t="s">
        <v>106</v>
      </c>
      <c r="C7" t="s">
        <v>204</v>
      </c>
      <c r="D7" s="1">
        <f>VLOOKUP(A7,'ADM Data'!$A$2:$D$52,4,FALSE)</f>
        <v>719.19131100000004</v>
      </c>
      <c r="E7" s="1">
        <f>VLOOKUP(A7,'ADM Data'!$A$2:$S$52,11,FALSE)</f>
        <v>438.64627899999999</v>
      </c>
      <c r="F7" s="20">
        <f t="shared" si="0"/>
        <v>0.60991598800000002</v>
      </c>
      <c r="G7" s="15">
        <f t="shared" si="1"/>
        <v>2.2943337091144471</v>
      </c>
      <c r="H7" s="9">
        <f t="shared" si="2"/>
        <v>424701.2</v>
      </c>
    </row>
    <row r="8" spans="1:8" x14ac:dyDescent="0.25">
      <c r="A8" t="s">
        <v>107</v>
      </c>
      <c r="B8" t="s">
        <v>108</v>
      </c>
      <c r="C8" t="s">
        <v>205</v>
      </c>
      <c r="D8" s="1">
        <f>VLOOKUP(A8,'ADM Data'!$A$2:$D$52,4,FALSE)</f>
        <v>503.60129699999999</v>
      </c>
      <c r="E8" s="1">
        <f>VLOOKUP(A8,'ADM Data'!$A$2:$S$52,11,FALSE)</f>
        <v>273.372276</v>
      </c>
      <c r="F8" s="20">
        <f t="shared" si="0"/>
        <v>0.54283473400000004</v>
      </c>
      <c r="G8" s="15">
        <f t="shared" si="1"/>
        <v>1.8174053735835047</v>
      </c>
      <c r="H8" s="9">
        <f t="shared" si="2"/>
        <v>209661.52</v>
      </c>
    </row>
    <row r="9" spans="1:8" x14ac:dyDescent="0.25">
      <c r="A9" t="s">
        <v>109</v>
      </c>
      <c r="B9" t="s">
        <v>110</v>
      </c>
      <c r="C9" t="s">
        <v>206</v>
      </c>
      <c r="D9" s="1">
        <f>VLOOKUP(A9,'ADM Data'!$A$2:$D$52,4,FALSE)</f>
        <v>3907.6085269999999</v>
      </c>
      <c r="E9" s="1">
        <f>VLOOKUP(A9,'ADM Data'!$A$2:$S$52,11,FALSE)</f>
        <v>1754.3982639999999</v>
      </c>
      <c r="F9" s="20">
        <f t="shared" si="0"/>
        <v>0.44896981200000002</v>
      </c>
      <c r="G9" s="15">
        <f t="shared" si="1"/>
        <v>1.2432281401216363</v>
      </c>
      <c r="H9" s="9">
        <f t="shared" si="2"/>
        <v>920431.5</v>
      </c>
    </row>
    <row r="10" spans="1:8" x14ac:dyDescent="0.25">
      <c r="A10" t="s">
        <v>111</v>
      </c>
      <c r="B10" t="s">
        <v>112</v>
      </c>
      <c r="C10" t="s">
        <v>207</v>
      </c>
      <c r="D10" s="1">
        <f>VLOOKUP(A10,'ADM Data'!$A$2:$D$52,4,FALSE)</f>
        <v>314.68025599999999</v>
      </c>
      <c r="E10" s="1">
        <f>VLOOKUP(A10,'ADM Data'!$A$2:$S$52,11,FALSE)</f>
        <v>144.91085899999999</v>
      </c>
      <c r="F10" s="20">
        <f t="shared" si="0"/>
        <v>0.46050191000000001</v>
      </c>
      <c r="G10" s="15">
        <f t="shared" si="1"/>
        <v>1.3079147028952403</v>
      </c>
      <c r="H10" s="9">
        <f t="shared" si="2"/>
        <v>79982.100000000006</v>
      </c>
    </row>
    <row r="11" spans="1:8" x14ac:dyDescent="0.25">
      <c r="A11" t="s">
        <v>113</v>
      </c>
      <c r="B11" t="s">
        <v>114</v>
      </c>
      <c r="C11" t="s">
        <v>208</v>
      </c>
      <c r="D11" s="1">
        <f>VLOOKUP(A11,'ADM Data'!$A$2:$D$52,4,FALSE)</f>
        <v>443.89503000000002</v>
      </c>
      <c r="E11" s="1">
        <f>VLOOKUP(A11,'ADM Data'!$A$2:$S$52,11,FALSE)</f>
        <v>147.34236100000001</v>
      </c>
      <c r="F11" s="20">
        <f t="shared" si="0"/>
        <v>0.33193063900000003</v>
      </c>
      <c r="G11" s="15">
        <f t="shared" si="1"/>
        <v>0.67953406729535148</v>
      </c>
      <c r="H11" s="9">
        <f t="shared" si="2"/>
        <v>42252.39</v>
      </c>
    </row>
    <row r="12" spans="1:8" x14ac:dyDescent="0.25">
      <c r="A12" t="s">
        <v>115</v>
      </c>
      <c r="B12" t="s">
        <v>116</v>
      </c>
      <c r="C12" t="s">
        <v>208</v>
      </c>
      <c r="D12" s="1">
        <f>VLOOKUP(A12,'ADM Data'!$A$2:$D$52,4,FALSE)</f>
        <v>709.83504000000005</v>
      </c>
      <c r="E12" s="1">
        <f>VLOOKUP(A12,'ADM Data'!$A$2:$S$52,11,FALSE)</f>
        <v>0</v>
      </c>
      <c r="F12" s="20">
        <f t="shared" si="0"/>
        <v>0</v>
      </c>
      <c r="G12" s="15">
        <f t="shared" si="1"/>
        <v>0</v>
      </c>
      <c r="H12" s="9">
        <f t="shared" si="2"/>
        <v>0</v>
      </c>
    </row>
    <row r="13" spans="1:8" x14ac:dyDescent="0.25">
      <c r="A13" t="s">
        <v>117</v>
      </c>
      <c r="B13" t="s">
        <v>118</v>
      </c>
      <c r="C13" t="s">
        <v>209</v>
      </c>
      <c r="D13" s="1">
        <f>VLOOKUP(A13,'ADM Data'!$A$2:$D$52,4,FALSE)</f>
        <v>1019.99215</v>
      </c>
      <c r="E13" s="1">
        <f>VLOOKUP(A13,'ADM Data'!$A$2:$S$52,11,FALSE)</f>
        <v>448.10004199999997</v>
      </c>
      <c r="F13" s="20">
        <f t="shared" si="0"/>
        <v>0.43931714799999999</v>
      </c>
      <c r="G13" s="15">
        <f t="shared" si="1"/>
        <v>1.1903450254423118</v>
      </c>
      <c r="H13" s="9">
        <f t="shared" si="2"/>
        <v>225092.12</v>
      </c>
    </row>
    <row r="14" spans="1:8" x14ac:dyDescent="0.25">
      <c r="A14" t="s">
        <v>119</v>
      </c>
      <c r="B14" t="s">
        <v>120</v>
      </c>
      <c r="C14" t="s">
        <v>210</v>
      </c>
      <c r="D14" s="1">
        <f>VLOOKUP(A14,'ADM Data'!$A$2:$D$52,4,FALSE)</f>
        <v>850.73437799999999</v>
      </c>
      <c r="E14" s="1">
        <f>VLOOKUP(A14,'ADM Data'!$A$2:$S$52,11,FALSE)</f>
        <v>171.77225300000001</v>
      </c>
      <c r="F14" s="20">
        <f t="shared" si="0"/>
        <v>0.20191055799999999</v>
      </c>
      <c r="G14" s="15">
        <f t="shared" si="1"/>
        <v>0.25144013909035956</v>
      </c>
      <c r="H14" s="9">
        <f t="shared" si="2"/>
        <v>18226.37</v>
      </c>
    </row>
    <row r="15" spans="1:8" x14ac:dyDescent="0.25">
      <c r="A15" t="s">
        <v>121</v>
      </c>
      <c r="B15" t="s">
        <v>122</v>
      </c>
      <c r="C15" t="s">
        <v>211</v>
      </c>
      <c r="D15" s="1">
        <f>VLOOKUP(A15,'ADM Data'!$A$2:$D$52,4,FALSE)</f>
        <v>1589.6221780000001</v>
      </c>
      <c r="E15" s="1">
        <f>VLOOKUP(A15,'ADM Data'!$A$2:$S$52,11,FALSE)</f>
        <v>581.98425399999996</v>
      </c>
      <c r="F15" s="20">
        <f t="shared" si="0"/>
        <v>0.36611483</v>
      </c>
      <c r="G15" s="15">
        <f t="shared" si="1"/>
        <v>0.82670619514849342</v>
      </c>
      <c r="H15" s="9">
        <f t="shared" si="2"/>
        <v>203036.86</v>
      </c>
    </row>
    <row r="16" spans="1:8" x14ac:dyDescent="0.25">
      <c r="A16" t="s">
        <v>123</v>
      </c>
      <c r="B16" t="s">
        <v>124</v>
      </c>
      <c r="C16" t="s">
        <v>212</v>
      </c>
      <c r="D16" s="1">
        <f>VLOOKUP(A16,'ADM Data'!$A$2:$D$52,4,FALSE)</f>
        <v>824.618246</v>
      </c>
      <c r="E16" s="1">
        <f>VLOOKUP(A16,'ADM Data'!$A$2:$S$52,11,FALSE)</f>
        <v>389.11069500000002</v>
      </c>
      <c r="F16" s="20">
        <f t="shared" si="0"/>
        <v>0.47186767600000001</v>
      </c>
      <c r="G16" s="15">
        <f t="shared" si="1"/>
        <v>1.3732733959245025</v>
      </c>
      <c r="H16" s="9">
        <f t="shared" si="2"/>
        <v>225497.96</v>
      </c>
    </row>
    <row r="17" spans="1:8" x14ac:dyDescent="0.25">
      <c r="A17" t="s">
        <v>125</v>
      </c>
      <c r="B17" t="s">
        <v>126</v>
      </c>
      <c r="C17" t="s">
        <v>213</v>
      </c>
      <c r="D17" s="1">
        <f>VLOOKUP(A17,'ADM Data'!$A$2:$D$52,4,FALSE)</f>
        <v>1263.2607149999999</v>
      </c>
      <c r="E17" s="1">
        <f>VLOOKUP(A17,'ADM Data'!$A$2:$S$52,11,FALSE)</f>
        <v>338.37915900000002</v>
      </c>
      <c r="F17" s="20">
        <f t="shared" si="0"/>
        <v>0.26786169700000001</v>
      </c>
      <c r="G17" s="15">
        <f t="shared" si="1"/>
        <v>0.44252497078496855</v>
      </c>
      <c r="H17" s="9">
        <f t="shared" si="2"/>
        <v>63190.8</v>
      </c>
    </row>
    <row r="18" spans="1:8" x14ac:dyDescent="0.25">
      <c r="A18" t="s">
        <v>127</v>
      </c>
      <c r="B18" t="s">
        <v>128</v>
      </c>
      <c r="C18" t="s">
        <v>214</v>
      </c>
      <c r="D18" s="1">
        <f>VLOOKUP(A18,'ADM Data'!$A$2:$D$52,4,FALSE)</f>
        <v>4497.9601739999998</v>
      </c>
      <c r="E18" s="1">
        <f>VLOOKUP(A18,'ADM Data'!$A$2:$S$52,11,FALSE)</f>
        <v>1825.2266549999999</v>
      </c>
      <c r="F18" s="20">
        <f t="shared" si="0"/>
        <v>0.405789866</v>
      </c>
      <c r="G18" s="15">
        <f t="shared" si="1"/>
        <v>1.0155912352833099</v>
      </c>
      <c r="H18" s="9">
        <f t="shared" si="2"/>
        <v>782254.73</v>
      </c>
    </row>
    <row r="19" spans="1:8" x14ac:dyDescent="0.25">
      <c r="A19" t="s">
        <v>129</v>
      </c>
      <c r="B19" t="s">
        <v>130</v>
      </c>
      <c r="C19" t="s">
        <v>215</v>
      </c>
      <c r="D19" s="1">
        <f>VLOOKUP(A19,'ADM Data'!$A$2:$D$52,4,FALSE)</f>
        <v>360.76220499999999</v>
      </c>
      <c r="E19" s="1">
        <f>VLOOKUP(A19,'ADM Data'!$A$2:$S$52,11,FALSE)</f>
        <v>214.417855</v>
      </c>
      <c r="F19" s="20">
        <f t="shared" si="0"/>
        <v>0.59434677999999996</v>
      </c>
      <c r="G19" s="15">
        <f t="shared" si="1"/>
        <v>2.1786947082873698</v>
      </c>
      <c r="H19" s="9">
        <f t="shared" si="2"/>
        <v>197137.74</v>
      </c>
    </row>
    <row r="20" spans="1:8" x14ac:dyDescent="0.25">
      <c r="A20" t="s">
        <v>131</v>
      </c>
      <c r="B20" t="s">
        <v>132</v>
      </c>
      <c r="C20" t="s">
        <v>216</v>
      </c>
      <c r="D20" s="1">
        <f>VLOOKUP(A20,'ADM Data'!$A$2:$D$52,4,FALSE)</f>
        <v>591.67776700000002</v>
      </c>
      <c r="E20" s="1">
        <f>VLOOKUP(A20,'ADM Data'!$A$2:$S$52,11,FALSE)</f>
        <v>215.233193</v>
      </c>
      <c r="F20" s="20">
        <f t="shared" si="0"/>
        <v>0.36376758599999998</v>
      </c>
      <c r="G20" s="15">
        <f t="shared" si="1"/>
        <v>0.81613977953984651</v>
      </c>
      <c r="H20" s="9">
        <f t="shared" si="2"/>
        <v>74128.679999999993</v>
      </c>
    </row>
    <row r="21" spans="1:8" x14ac:dyDescent="0.25">
      <c r="A21" t="s">
        <v>133</v>
      </c>
      <c r="B21" t="s">
        <v>134</v>
      </c>
      <c r="C21" t="s">
        <v>217</v>
      </c>
      <c r="D21" s="1">
        <f>VLOOKUP(A21,'ADM Data'!$A$2:$D$52,4,FALSE)</f>
        <v>432.61144100000001</v>
      </c>
      <c r="E21" s="1">
        <f>VLOOKUP(A21,'ADM Data'!$A$2:$S$52,11,FALSE)</f>
        <v>82.774570999999995</v>
      </c>
      <c r="F21" s="20">
        <f t="shared" si="0"/>
        <v>0.19133699000000001</v>
      </c>
      <c r="G21" s="15">
        <f t="shared" si="1"/>
        <v>0.22579505448115464</v>
      </c>
      <c r="H21" s="9">
        <f t="shared" si="2"/>
        <v>7887.22</v>
      </c>
    </row>
    <row r="22" spans="1:8" x14ac:dyDescent="0.25">
      <c r="A22" t="s">
        <v>135</v>
      </c>
      <c r="B22" t="s">
        <v>136</v>
      </c>
      <c r="C22" t="s">
        <v>218</v>
      </c>
      <c r="D22" s="1">
        <f>VLOOKUP(A22,'ADM Data'!$A$2:$D$52,4,FALSE)</f>
        <v>739.15898500000003</v>
      </c>
      <c r="E22" s="1">
        <f>VLOOKUP(A22,'ADM Data'!$A$2:$S$52,11,FALSE)</f>
        <v>455.60772500000002</v>
      </c>
      <c r="F22" s="20">
        <f t="shared" si="0"/>
        <v>0.61638664200000004</v>
      </c>
      <c r="G22" s="15">
        <f t="shared" si="1"/>
        <v>2.3432735313679771</v>
      </c>
      <c r="H22" s="9">
        <f t="shared" si="2"/>
        <v>450532.91</v>
      </c>
    </row>
    <row r="23" spans="1:8" x14ac:dyDescent="0.25">
      <c r="A23" t="s">
        <v>137</v>
      </c>
      <c r="B23" t="s">
        <v>138</v>
      </c>
      <c r="C23" t="s">
        <v>219</v>
      </c>
      <c r="D23" s="1">
        <f>VLOOKUP(A23,'ADM Data'!$A$2:$D$52,4,FALSE)</f>
        <v>1066.857195</v>
      </c>
      <c r="E23" s="1">
        <f>VLOOKUP(A23,'ADM Data'!$A$2:$S$52,11,FALSE)</f>
        <v>373.01628699999998</v>
      </c>
      <c r="F23" s="20">
        <f t="shared" si="0"/>
        <v>0.34964031600000001</v>
      </c>
      <c r="G23" s="15">
        <f t="shared" si="1"/>
        <v>0.75397953545220153</v>
      </c>
      <c r="H23" s="9">
        <f t="shared" si="2"/>
        <v>118686.08</v>
      </c>
    </row>
    <row r="24" spans="1:8" x14ac:dyDescent="0.25">
      <c r="A24" t="s">
        <v>139</v>
      </c>
      <c r="B24" t="s">
        <v>140</v>
      </c>
      <c r="C24" t="s">
        <v>220</v>
      </c>
      <c r="D24" s="1">
        <f>VLOOKUP(A24,'ADM Data'!$A$2:$D$52,4,FALSE)</f>
        <v>1347.3865249999999</v>
      </c>
      <c r="E24" s="1">
        <f>VLOOKUP(A24,'ADM Data'!$A$2:$S$52,11,FALSE)</f>
        <v>567.98737600000004</v>
      </c>
      <c r="F24" s="20">
        <f t="shared" si="0"/>
        <v>0.42154746599999998</v>
      </c>
      <c r="G24" s="15">
        <f t="shared" si="1"/>
        <v>1.0959973808118115</v>
      </c>
      <c r="H24" s="9">
        <f t="shared" si="2"/>
        <v>262700.34999999998</v>
      </c>
    </row>
    <row r="25" spans="1:8" x14ac:dyDescent="0.25">
      <c r="A25" t="s">
        <v>141</v>
      </c>
      <c r="B25" t="s">
        <v>142</v>
      </c>
      <c r="C25" t="s">
        <v>221</v>
      </c>
      <c r="D25" s="1">
        <f>VLOOKUP(A25,'ADM Data'!$A$2:$D$52,4,FALSE)</f>
        <v>771.96822899999995</v>
      </c>
      <c r="E25" s="1">
        <f>VLOOKUP(A25,'ADM Data'!$A$2:$S$52,11,FALSE)</f>
        <v>430.22281099999998</v>
      </c>
      <c r="F25" s="20">
        <f t="shared" si="0"/>
        <v>0.55730636899999997</v>
      </c>
      <c r="G25" s="15">
        <f t="shared" si="1"/>
        <v>1.9155988286385188</v>
      </c>
      <c r="H25" s="9">
        <f t="shared" si="2"/>
        <v>347784.68</v>
      </c>
    </row>
    <row r="26" spans="1:8" x14ac:dyDescent="0.25">
      <c r="A26" t="s">
        <v>143</v>
      </c>
      <c r="B26" t="s">
        <v>144</v>
      </c>
      <c r="C26" t="s">
        <v>222</v>
      </c>
      <c r="D26" s="1">
        <f>VLOOKUP(A26,'ADM Data'!$A$2:$D$52,4,FALSE)</f>
        <v>2195.4556480000001</v>
      </c>
      <c r="E26" s="1">
        <f>VLOOKUP(A26,'ADM Data'!$A$2:$S$52,11,FALSE)</f>
        <v>724.43230900000003</v>
      </c>
      <c r="F26" s="20">
        <f t="shared" si="0"/>
        <v>0.32996900200000001</v>
      </c>
      <c r="G26" s="15">
        <f t="shared" si="1"/>
        <v>0.67152600689237085</v>
      </c>
      <c r="H26" s="9">
        <f t="shared" si="2"/>
        <v>205292.51</v>
      </c>
    </row>
    <row r="27" spans="1:8" x14ac:dyDescent="0.25">
      <c r="A27" t="s">
        <v>145</v>
      </c>
      <c r="B27" t="s">
        <v>146</v>
      </c>
      <c r="C27" t="s">
        <v>223</v>
      </c>
      <c r="D27" s="1">
        <f>VLOOKUP(A27,'ADM Data'!$A$2:$D$52,4,FALSE)</f>
        <v>1157.2874979999999</v>
      </c>
      <c r="E27" s="1">
        <f>VLOOKUP(A27,'ADM Data'!$A$2:$S$52,11,FALSE)</f>
        <v>525.75642800000003</v>
      </c>
      <c r="F27" s="20">
        <f t="shared" si="0"/>
        <v>0.45430061999999999</v>
      </c>
      <c r="G27" s="15">
        <f t="shared" si="1"/>
        <v>1.2729261525829918</v>
      </c>
      <c r="H27" s="9">
        <f t="shared" si="2"/>
        <v>282423.12</v>
      </c>
    </row>
    <row r="28" spans="1:8" x14ac:dyDescent="0.25">
      <c r="A28" t="s">
        <v>147</v>
      </c>
      <c r="B28" t="s">
        <v>148</v>
      </c>
      <c r="C28" t="s">
        <v>224</v>
      </c>
      <c r="D28" s="1">
        <f>VLOOKUP(A28,'ADM Data'!$A$2:$D$52,4,FALSE)</f>
        <v>1111.0302489999999</v>
      </c>
      <c r="E28" s="1">
        <f>VLOOKUP(A28,'ADM Data'!$A$2:$S$52,11,FALSE)</f>
        <v>254.718706</v>
      </c>
      <c r="F28" s="20">
        <f t="shared" si="0"/>
        <v>0.22926352</v>
      </c>
      <c r="G28" s="15">
        <f t="shared" si="1"/>
        <v>0.32418018247446473</v>
      </c>
      <c r="H28" s="9">
        <f t="shared" si="2"/>
        <v>34846.550000000003</v>
      </c>
    </row>
    <row r="29" spans="1:8" x14ac:dyDescent="0.25">
      <c r="A29" t="s">
        <v>149</v>
      </c>
      <c r="B29" t="s">
        <v>150</v>
      </c>
      <c r="C29" t="s">
        <v>225</v>
      </c>
      <c r="D29" s="1">
        <f>VLOOKUP(A29,'ADM Data'!$A$2:$D$52,4,FALSE)</f>
        <v>2185.86247</v>
      </c>
      <c r="E29" s="1">
        <f>VLOOKUP(A29,'ADM Data'!$A$2:$S$52,11,FALSE)</f>
        <v>827.90306699999996</v>
      </c>
      <c r="F29" s="20">
        <f t="shared" si="0"/>
        <v>0.37875350299999999</v>
      </c>
      <c r="G29" s="15">
        <f t="shared" si="1"/>
        <v>0.88476893682373248</v>
      </c>
      <c r="H29" s="9">
        <f t="shared" si="2"/>
        <v>309116.23</v>
      </c>
    </row>
    <row r="30" spans="1:8" x14ac:dyDescent="0.25">
      <c r="A30" t="s">
        <v>151</v>
      </c>
      <c r="B30" t="s">
        <v>152</v>
      </c>
      <c r="C30" t="s">
        <v>226</v>
      </c>
      <c r="D30" s="1">
        <f>VLOOKUP(A30,'ADM Data'!$A$2:$D$52,4,FALSE)</f>
        <v>444.91727800000001</v>
      </c>
      <c r="E30" s="1">
        <f>VLOOKUP(A30,'ADM Data'!$A$2:$S$52,11,FALSE)</f>
        <v>444.91727800000001</v>
      </c>
      <c r="F30" s="20">
        <f t="shared" si="0"/>
        <v>1</v>
      </c>
      <c r="G30" s="15">
        <f t="shared" si="1"/>
        <v>6.1676049772512691</v>
      </c>
      <c r="H30" s="9">
        <f t="shared" si="2"/>
        <v>1157999.24</v>
      </c>
    </row>
    <row r="31" spans="1:8" x14ac:dyDescent="0.25">
      <c r="A31" t="s">
        <v>153</v>
      </c>
      <c r="B31" t="s">
        <v>154</v>
      </c>
      <c r="C31" t="s">
        <v>227</v>
      </c>
      <c r="D31" s="1">
        <f>VLOOKUP(A31,'ADM Data'!$A$2:$D$52,4,FALSE)</f>
        <v>648.28250800000001</v>
      </c>
      <c r="E31" s="1">
        <f>VLOOKUP(A31,'ADM Data'!$A$2:$S$52,11,FALSE)</f>
        <v>270.83029199999999</v>
      </c>
      <c r="F31" s="20">
        <f t="shared" si="0"/>
        <v>0.417765848</v>
      </c>
      <c r="G31" s="15">
        <f t="shared" si="1"/>
        <v>1.0764216349115403</v>
      </c>
      <c r="H31" s="9">
        <f t="shared" si="2"/>
        <v>123024.64</v>
      </c>
    </row>
    <row r="32" spans="1:8" x14ac:dyDescent="0.25">
      <c r="A32" t="s">
        <v>155</v>
      </c>
      <c r="B32" t="s">
        <v>156</v>
      </c>
      <c r="C32" t="s">
        <v>228</v>
      </c>
      <c r="D32" s="1">
        <f>VLOOKUP(A32,'ADM Data'!$A$2:$D$52,4,FALSE)</f>
        <v>1401.3242889999999</v>
      </c>
      <c r="E32" s="1">
        <f>VLOOKUP(A32,'ADM Data'!$A$2:$S$52,11,FALSE)</f>
        <v>643.77292599999998</v>
      </c>
      <c r="F32" s="20">
        <f t="shared" si="0"/>
        <v>0.45940324500000002</v>
      </c>
      <c r="G32" s="15">
        <f t="shared" si="1"/>
        <v>1.3016813043929081</v>
      </c>
      <c r="H32" s="9">
        <f t="shared" si="2"/>
        <v>353630.59</v>
      </c>
    </row>
    <row r="33" spans="1:8" x14ac:dyDescent="0.25">
      <c r="A33" t="s">
        <v>157</v>
      </c>
      <c r="B33" t="s">
        <v>158</v>
      </c>
      <c r="C33" t="s">
        <v>229</v>
      </c>
      <c r="D33" s="1">
        <f>VLOOKUP(A33,'ADM Data'!$A$2:$D$52,4,FALSE)</f>
        <v>1110.5186900000001</v>
      </c>
      <c r="E33" s="1">
        <f>VLOOKUP(A33,'ADM Data'!$A$2:$S$52,11,FALSE)</f>
        <v>181.44544300000001</v>
      </c>
      <c r="F33" s="20">
        <f t="shared" si="0"/>
        <v>0.163388014</v>
      </c>
      <c r="G33" s="15">
        <f t="shared" si="1"/>
        <v>0.16464818137083043</v>
      </c>
      <c r="H33" s="9">
        <f t="shared" si="2"/>
        <v>12607.11</v>
      </c>
    </row>
    <row r="34" spans="1:8" x14ac:dyDescent="0.25">
      <c r="A34" t="s">
        <v>159</v>
      </c>
      <c r="B34" t="s">
        <v>160</v>
      </c>
      <c r="C34" t="s">
        <v>230</v>
      </c>
      <c r="D34" s="1">
        <f>VLOOKUP(A34,'ADM Data'!$A$2:$D$52,4,FALSE)</f>
        <v>1002.540609</v>
      </c>
      <c r="E34" s="1">
        <f>VLOOKUP(A34,'ADM Data'!$A$2:$S$52,11,FALSE)</f>
        <v>360.75562600000001</v>
      </c>
      <c r="F34" s="20">
        <f t="shared" si="0"/>
        <v>0.35984140999999997</v>
      </c>
      <c r="G34" s="15">
        <f t="shared" si="1"/>
        <v>0.79861751343108367</v>
      </c>
      <c r="H34" s="9">
        <f t="shared" si="2"/>
        <v>121580.63</v>
      </c>
    </row>
    <row r="35" spans="1:8" x14ac:dyDescent="0.25">
      <c r="A35" t="s">
        <v>161</v>
      </c>
      <c r="B35" t="s">
        <v>162</v>
      </c>
      <c r="C35" t="s">
        <v>231</v>
      </c>
      <c r="D35" s="1">
        <f>VLOOKUP(A35,'ADM Data'!$A$2:$D$52,4,FALSE)</f>
        <v>1246.7996780000001</v>
      </c>
      <c r="E35" s="1">
        <f>VLOOKUP(A35,'ADM Data'!$A$2:$S$52,11,FALSE)</f>
        <v>266.470889</v>
      </c>
      <c r="F35" s="20">
        <f t="shared" si="0"/>
        <v>0.21372389899999999</v>
      </c>
      <c r="G35" s="15">
        <f t="shared" si="1"/>
        <v>0.28172327425161436</v>
      </c>
      <c r="H35" s="9">
        <f t="shared" si="2"/>
        <v>31679.98</v>
      </c>
    </row>
    <row r="36" spans="1:8" x14ac:dyDescent="0.25">
      <c r="A36" t="s">
        <v>163</v>
      </c>
      <c r="B36" t="s">
        <v>164</v>
      </c>
      <c r="C36" t="s">
        <v>232</v>
      </c>
      <c r="D36" s="1">
        <f>VLOOKUP(A36,'ADM Data'!$A$2:$D$52,4,FALSE)</f>
        <v>672.70673599999998</v>
      </c>
      <c r="E36" s="1">
        <f>VLOOKUP(A36,'ADM Data'!$A$2:$S$52,11,FALSE)</f>
        <v>529.66823399999998</v>
      </c>
      <c r="F36" s="20">
        <f t="shared" si="0"/>
        <v>0.787368709</v>
      </c>
      <c r="G36" s="15">
        <f t="shared" si="1"/>
        <v>3.8236035226220211</v>
      </c>
      <c r="H36" s="9">
        <f t="shared" si="2"/>
        <v>854651.84</v>
      </c>
    </row>
    <row r="37" spans="1:8" x14ac:dyDescent="0.25">
      <c r="A37" t="s">
        <v>165</v>
      </c>
      <c r="B37" t="s">
        <v>166</v>
      </c>
      <c r="C37" t="s">
        <v>233</v>
      </c>
      <c r="D37" s="1">
        <f>VLOOKUP(A37,'ADM Data'!$A$2:$D$52,4,FALSE)</f>
        <v>822.20501000000002</v>
      </c>
      <c r="E37" s="1">
        <f>VLOOKUP(A37,'ADM Data'!$A$2:$S$52,11,FALSE)</f>
        <v>377.15292399999998</v>
      </c>
      <c r="F37" s="20">
        <f t="shared" si="0"/>
        <v>0.45870910500000001</v>
      </c>
      <c r="G37" s="15">
        <f t="shared" si="1"/>
        <v>1.2977506989514282</v>
      </c>
      <c r="H37" s="9">
        <f t="shared" si="2"/>
        <v>206548.1</v>
      </c>
    </row>
    <row r="38" spans="1:8" x14ac:dyDescent="0.25">
      <c r="A38" t="s">
        <v>167</v>
      </c>
      <c r="B38" t="s">
        <v>168</v>
      </c>
      <c r="C38" t="s">
        <v>234</v>
      </c>
      <c r="D38" s="1">
        <f>VLOOKUP(A38,'ADM Data'!$A$2:$D$52,4,FALSE)</f>
        <v>595.41497400000003</v>
      </c>
      <c r="E38" s="1">
        <f>VLOOKUP(A38,'ADM Data'!$A$2:$S$52,11,FALSE)</f>
        <v>595.41497400000003</v>
      </c>
      <c r="F38" s="20">
        <f t="shared" si="0"/>
        <v>1</v>
      </c>
      <c r="G38" s="15">
        <f t="shared" si="1"/>
        <v>6.1676049772512691</v>
      </c>
      <c r="H38" s="9">
        <f t="shared" si="2"/>
        <v>1549704</v>
      </c>
    </row>
    <row r="39" spans="1:8" x14ac:dyDescent="0.25">
      <c r="A39" t="s">
        <v>169</v>
      </c>
      <c r="B39" t="s">
        <v>170</v>
      </c>
      <c r="C39" t="s">
        <v>235</v>
      </c>
      <c r="D39" s="1">
        <f>VLOOKUP(A39,'ADM Data'!$A$2:$D$52,4,FALSE)</f>
        <v>1017.053596</v>
      </c>
      <c r="E39" s="1">
        <f>VLOOKUP(A39,'ADM Data'!$A$2:$S$52,11,FALSE)</f>
        <v>534.76409999999998</v>
      </c>
      <c r="F39" s="20">
        <f t="shared" si="0"/>
        <v>0.52579736399999999</v>
      </c>
      <c r="G39" s="15">
        <f t="shared" si="1"/>
        <v>1.7051137606362665</v>
      </c>
      <c r="H39" s="9">
        <f t="shared" si="2"/>
        <v>384793.79</v>
      </c>
    </row>
    <row r="40" spans="1:8" x14ac:dyDescent="0.25">
      <c r="A40" t="s">
        <v>171</v>
      </c>
      <c r="B40" t="s">
        <v>172</v>
      </c>
      <c r="C40" t="s">
        <v>236</v>
      </c>
      <c r="D40" s="1">
        <f>VLOOKUP(A40,'ADM Data'!$A$2:$D$52,4,FALSE)</f>
        <v>954.89631999999995</v>
      </c>
      <c r="E40" s="1">
        <f>VLOOKUP(A40,'ADM Data'!$A$2:$S$52,11,FALSE)</f>
        <v>385.14433000000002</v>
      </c>
      <c r="F40" s="20">
        <f t="shared" si="0"/>
        <v>0.40333628100000002</v>
      </c>
      <c r="G40" s="15">
        <f t="shared" si="1"/>
        <v>1.0033469371991615</v>
      </c>
      <c r="H40" s="9">
        <f t="shared" si="2"/>
        <v>163074.89000000001</v>
      </c>
    </row>
    <row r="41" spans="1:8" x14ac:dyDescent="0.25">
      <c r="A41" t="s">
        <v>173</v>
      </c>
      <c r="B41" t="s">
        <v>174</v>
      </c>
      <c r="C41" t="s">
        <v>237</v>
      </c>
      <c r="D41" s="1">
        <f>VLOOKUP(A41,'ADM Data'!$A$2:$D$52,4,FALSE)</f>
        <v>525.79509199999995</v>
      </c>
      <c r="E41" s="1">
        <f>VLOOKUP(A41,'ADM Data'!$A$2:$S$52,11,FALSE)</f>
        <v>163.868146</v>
      </c>
      <c r="F41" s="20">
        <f t="shared" si="0"/>
        <v>0.31165780799999998</v>
      </c>
      <c r="G41" s="15">
        <f t="shared" si="1"/>
        <v>0.59906310593210021</v>
      </c>
      <c r="H41" s="9">
        <f t="shared" si="2"/>
        <v>41426.629999999997</v>
      </c>
    </row>
    <row r="42" spans="1:8" x14ac:dyDescent="0.25">
      <c r="A42" t="s">
        <v>175</v>
      </c>
      <c r="B42" t="s">
        <v>176</v>
      </c>
      <c r="C42" t="s">
        <v>238</v>
      </c>
      <c r="D42" s="1">
        <f>VLOOKUP(A42,'ADM Data'!$A$2:$D$52,4,FALSE)</f>
        <v>517.72178799999995</v>
      </c>
      <c r="E42" s="1">
        <f>VLOOKUP(A42,'ADM Data'!$A$2:$S$52,11,FALSE)</f>
        <v>252.016368</v>
      </c>
      <c r="F42" s="20">
        <f t="shared" si="0"/>
        <v>0.48677952899999999</v>
      </c>
      <c r="G42" s="15">
        <f t="shared" si="1"/>
        <v>1.4614405808333504</v>
      </c>
      <c r="H42" s="9">
        <f t="shared" si="2"/>
        <v>155425.53</v>
      </c>
    </row>
    <row r="43" spans="1:8" x14ac:dyDescent="0.25">
      <c r="A43" t="s">
        <v>177</v>
      </c>
      <c r="B43" t="s">
        <v>178</v>
      </c>
      <c r="C43" t="s">
        <v>239</v>
      </c>
      <c r="D43" s="1">
        <f>VLOOKUP(A43,'ADM Data'!$A$2:$D$52,4,FALSE)</f>
        <v>739.94657600000005</v>
      </c>
      <c r="E43" s="1">
        <f>VLOOKUP(A43,'ADM Data'!$A$2:$S$52,11,FALSE)</f>
        <v>354.61797000000001</v>
      </c>
      <c r="F43" s="20">
        <f t="shared" si="0"/>
        <v>0.47924807200000002</v>
      </c>
      <c r="G43" s="15">
        <f t="shared" si="1"/>
        <v>1.4165675828158104</v>
      </c>
      <c r="H43" s="9">
        <f t="shared" si="2"/>
        <v>211987.62</v>
      </c>
    </row>
    <row r="44" spans="1:8" x14ac:dyDescent="0.25">
      <c r="A44" t="s">
        <v>179</v>
      </c>
      <c r="B44" t="s">
        <v>180</v>
      </c>
      <c r="C44" t="s">
        <v>240</v>
      </c>
      <c r="D44" s="1">
        <f>VLOOKUP(A44,'ADM Data'!$A$2:$D$52,4,FALSE)</f>
        <v>788.07446900000002</v>
      </c>
      <c r="E44" s="1">
        <f>VLOOKUP(A44,'ADM Data'!$A$2:$S$52,11,FALSE)</f>
        <v>336.52387199999998</v>
      </c>
      <c r="F44" s="20">
        <f t="shared" si="0"/>
        <v>0.42702039600000002</v>
      </c>
      <c r="G44" s="15">
        <f t="shared" si="1"/>
        <v>1.1246406789412839</v>
      </c>
      <c r="H44" s="9">
        <f t="shared" si="2"/>
        <v>159713.68</v>
      </c>
    </row>
    <row r="45" spans="1:8" x14ac:dyDescent="0.25">
      <c r="A45" t="s">
        <v>181</v>
      </c>
      <c r="B45" t="s">
        <v>182</v>
      </c>
      <c r="C45" t="s">
        <v>241</v>
      </c>
      <c r="D45" s="1">
        <f>VLOOKUP(A45,'ADM Data'!$A$2:$D$52,4,FALSE)</f>
        <v>519.65214400000002</v>
      </c>
      <c r="E45" s="1">
        <f>VLOOKUP(A45,'ADM Data'!$A$2:$S$52,11,FALSE)</f>
        <v>150.362211</v>
      </c>
      <c r="F45" s="20">
        <f t="shared" si="0"/>
        <v>0.28935166099999998</v>
      </c>
      <c r="G45" s="15">
        <f t="shared" si="1"/>
        <v>0.51637892577010036</v>
      </c>
      <c r="H45" s="9">
        <f t="shared" si="2"/>
        <v>32765.72</v>
      </c>
    </row>
    <row r="46" spans="1:8" x14ac:dyDescent="0.25">
      <c r="A46" t="s">
        <v>183</v>
      </c>
      <c r="B46" t="s">
        <v>184</v>
      </c>
      <c r="C46" t="s">
        <v>242</v>
      </c>
      <c r="D46" s="1">
        <f>VLOOKUP(A46,'ADM Data'!$A$2:$D$52,4,FALSE)</f>
        <v>732.07476599999995</v>
      </c>
      <c r="E46" s="1">
        <f>VLOOKUP(A46,'ADM Data'!$A$2:$S$52,11,FALSE)</f>
        <v>596.71765600000003</v>
      </c>
      <c r="F46" s="20">
        <f t="shared" si="0"/>
        <v>0.81510479999999996</v>
      </c>
      <c r="G46" s="15">
        <f t="shared" si="1"/>
        <v>4.0977310587064109</v>
      </c>
      <c r="H46" s="9">
        <f t="shared" si="2"/>
        <v>1031869.54</v>
      </c>
    </row>
    <row r="47" spans="1:8" x14ac:dyDescent="0.25">
      <c r="A47" t="s">
        <v>185</v>
      </c>
      <c r="B47" t="s">
        <v>186</v>
      </c>
      <c r="C47" t="s">
        <v>243</v>
      </c>
      <c r="D47" s="1">
        <f>VLOOKUP(A47,'ADM Data'!$A$2:$D$52,4,FALSE)</f>
        <v>1187.2641430000001</v>
      </c>
      <c r="E47" s="1">
        <f>VLOOKUP(A47,'ADM Data'!$A$2:$S$52,11,FALSE)</f>
        <v>61.710371000000002</v>
      </c>
      <c r="F47" s="20">
        <f t="shared" si="0"/>
        <v>5.1976952E-2</v>
      </c>
      <c r="G47" s="15">
        <f t="shared" si="1"/>
        <v>1.666242343499311E-2</v>
      </c>
      <c r="H47" s="9">
        <f t="shared" si="2"/>
        <v>433.92</v>
      </c>
    </row>
    <row r="48" spans="1:8" x14ac:dyDescent="0.25">
      <c r="A48" t="s">
        <v>187</v>
      </c>
      <c r="B48" t="s">
        <v>188</v>
      </c>
      <c r="C48" t="s">
        <v>244</v>
      </c>
      <c r="D48" s="1">
        <f>VLOOKUP(A48,'ADM Data'!$A$2:$D$52,4,FALSE)</f>
        <v>1449.0557369999999</v>
      </c>
      <c r="E48" s="1">
        <f>VLOOKUP(A48,'ADM Data'!$A$2:$S$52,11,FALSE)</f>
        <v>490.065089</v>
      </c>
      <c r="F48" s="20">
        <f t="shared" si="0"/>
        <v>0.33819616200000002</v>
      </c>
      <c r="G48" s="15">
        <f t="shared" si="1"/>
        <v>0.70542995876345849</v>
      </c>
      <c r="H48" s="9">
        <f t="shared" si="2"/>
        <v>145888.18</v>
      </c>
    </row>
    <row r="49" spans="1:8" x14ac:dyDescent="0.25">
      <c r="A49" t="s">
        <v>189</v>
      </c>
      <c r="B49" t="s">
        <v>190</v>
      </c>
      <c r="C49" t="s">
        <v>245</v>
      </c>
      <c r="D49" s="1">
        <f>VLOOKUP(A49,'ADM Data'!$A$2:$D$52,4,FALSE)</f>
        <v>476.68874799999998</v>
      </c>
      <c r="E49" s="1">
        <f>VLOOKUP(A49,'ADM Data'!$A$2:$S$52,11,FALSE)</f>
        <v>218.40687500000001</v>
      </c>
      <c r="F49" s="20">
        <f t="shared" si="0"/>
        <v>0.45817501700000002</v>
      </c>
      <c r="G49" s="15">
        <f t="shared" si="1"/>
        <v>1.2947304424875348</v>
      </c>
      <c r="H49" s="9">
        <f t="shared" si="2"/>
        <v>119332.33</v>
      </c>
    </row>
    <row r="50" spans="1:8" x14ac:dyDescent="0.25">
      <c r="A50" t="s">
        <v>191</v>
      </c>
      <c r="B50" t="s">
        <v>192</v>
      </c>
      <c r="C50" t="s">
        <v>246</v>
      </c>
      <c r="D50" s="1">
        <f>VLOOKUP(A50,'ADM Data'!$A$2:$D$52,4,FALSE)</f>
        <v>312.63321400000001</v>
      </c>
      <c r="E50" s="1">
        <f>VLOOKUP(A50,'ADM Data'!$A$2:$S$52,11,FALSE)</f>
        <v>108.825018</v>
      </c>
      <c r="F50" s="20">
        <f t="shared" si="0"/>
        <v>0.34809167099999999</v>
      </c>
      <c r="G50" s="15">
        <f t="shared" si="1"/>
        <v>0.74731519679399683</v>
      </c>
      <c r="H50" s="9">
        <f t="shared" si="2"/>
        <v>34319.82</v>
      </c>
    </row>
    <row r="51" spans="1:8" x14ac:dyDescent="0.25">
      <c r="A51" t="s">
        <v>193</v>
      </c>
      <c r="B51" t="s">
        <v>194</v>
      </c>
      <c r="C51" t="s">
        <v>247</v>
      </c>
      <c r="D51" s="1">
        <f>VLOOKUP(A51,'ADM Data'!$A$2:$D$52,4,FALSE)</f>
        <v>936.96177</v>
      </c>
      <c r="E51" s="1">
        <f>VLOOKUP(A51,'ADM Data'!$A$2:$S$52,11,FALSE)</f>
        <v>215.799442</v>
      </c>
      <c r="F51" s="20">
        <f t="shared" si="0"/>
        <v>0.2303183</v>
      </c>
      <c r="G51" s="15">
        <f t="shared" si="1"/>
        <v>0.32716997655237112</v>
      </c>
      <c r="H51" s="9">
        <f t="shared" si="2"/>
        <v>29794.51</v>
      </c>
    </row>
    <row r="52" spans="1:8" x14ac:dyDescent="0.25">
      <c r="A52" t="s">
        <v>195</v>
      </c>
      <c r="B52" t="s">
        <v>196</v>
      </c>
      <c r="C52" t="s">
        <v>248</v>
      </c>
      <c r="D52" s="1">
        <f>VLOOKUP(A52,'ADM Data'!$A$2:$D$52,4,FALSE)</f>
        <v>247.08869300000001</v>
      </c>
      <c r="E52" s="1">
        <f>VLOOKUP(A52,'ADM Data'!$A$2:$S$52,11,FALSE)</f>
        <v>148.18979100000001</v>
      </c>
      <c r="F52" s="20">
        <f t="shared" si="0"/>
        <v>0.59974331199999997</v>
      </c>
      <c r="G52" s="15">
        <f t="shared" si="1"/>
        <v>2.2184384179624308</v>
      </c>
      <c r="H52" s="9">
        <f t="shared" si="2"/>
        <v>138732.47</v>
      </c>
    </row>
    <row r="53" spans="1:8" x14ac:dyDescent="0.25">
      <c r="A53" t="s">
        <v>197</v>
      </c>
      <c r="B53" t="s">
        <v>198</v>
      </c>
      <c r="C53" t="s">
        <v>249</v>
      </c>
      <c r="D53" s="1">
        <f>VLOOKUP(A53,'ADM Data'!$A$2:$D$52,4,FALSE)</f>
        <v>607.23261000000002</v>
      </c>
      <c r="E53" s="1">
        <f>VLOOKUP(A53,'ADM Data'!$A$2:$S$52,11,FALSE)</f>
        <v>308.00966799999998</v>
      </c>
      <c r="F53" s="20">
        <f t="shared" si="0"/>
        <v>0.50723505800000002</v>
      </c>
      <c r="G53" s="15">
        <f t="shared" si="1"/>
        <v>1.5868470738908089</v>
      </c>
      <c r="H53" s="9">
        <f t="shared" si="2"/>
        <v>206258.51</v>
      </c>
    </row>
    <row r="54" spans="1:8" x14ac:dyDescent="0.25">
      <c r="A54" s="135" t="s">
        <v>914</v>
      </c>
      <c r="B54" t="s">
        <v>250</v>
      </c>
      <c r="D54" s="1">
        <f>SUM(D5:D53)</f>
        <v>49204.497279000003</v>
      </c>
      <c r="E54" s="1">
        <f>SUM(E5:E53)</f>
        <v>19812.854934000003</v>
      </c>
      <c r="F54" s="20">
        <f>ROUND(E54/D54,6)</f>
        <v>0.40266299999999999</v>
      </c>
      <c r="G54" s="15">
        <f t="shared" si="1"/>
        <v>1</v>
      </c>
      <c r="H54" s="9">
        <f>SUM(H5:H53)</f>
        <v>12995815.060000001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11E6E-F2A7-42EA-B005-01CB6B4C1896}">
  <dimension ref="A1:AV59"/>
  <sheetViews>
    <sheetView workbookViewId="0">
      <pane xSplit="3" ySplit="4" topLeftCell="AH5" activePane="bottomRight" state="frozen"/>
      <selection pane="topRight" activeCell="D1" sqref="D1"/>
      <selection pane="bottomLeft" activeCell="A3" sqref="A3"/>
      <selection pane="bottomRight" activeCell="AM45" sqref="AM45"/>
    </sheetView>
  </sheetViews>
  <sheetFormatPr defaultRowHeight="15" x14ac:dyDescent="0.25"/>
  <cols>
    <col min="1" max="1" width="7.5703125" bestFit="1" customWidth="1"/>
    <col min="2" max="2" width="46" bestFit="1" customWidth="1"/>
    <col min="3" max="3" width="13.140625" bestFit="1" customWidth="1"/>
    <col min="4" max="4" width="15.42578125" customWidth="1"/>
    <col min="5" max="5" width="14.28515625" customWidth="1"/>
    <col min="6" max="6" width="18" customWidth="1"/>
    <col min="7" max="7" width="17.7109375" customWidth="1"/>
    <col min="8" max="8" width="21.28515625" customWidth="1"/>
    <col min="9" max="9" width="16.7109375" customWidth="1"/>
    <col min="10" max="10" width="16" customWidth="1"/>
    <col min="11" max="11" width="10.140625" bestFit="1" customWidth="1"/>
    <col min="12" max="12" width="12.7109375" bestFit="1" customWidth="1"/>
    <col min="13" max="13" width="15.140625" customWidth="1"/>
    <col min="14" max="14" width="13.85546875" bestFit="1" customWidth="1"/>
    <col min="15" max="15" width="15.5703125" customWidth="1"/>
    <col min="16" max="16" width="10.5703125" customWidth="1"/>
    <col min="17" max="17" width="12.7109375" bestFit="1" customWidth="1"/>
    <col min="18" max="18" width="15.85546875" customWidth="1"/>
    <col min="19" max="19" width="16.42578125" bestFit="1" customWidth="1"/>
    <col min="20" max="20" width="11.7109375" bestFit="1" customWidth="1"/>
    <col min="21" max="21" width="13.85546875" customWidth="1"/>
    <col min="22" max="22" width="14.140625" customWidth="1"/>
    <col min="23" max="23" width="17.28515625" customWidth="1"/>
    <col min="24" max="24" width="16.7109375" customWidth="1"/>
    <col min="25" max="25" width="15.5703125" customWidth="1"/>
    <col min="26" max="26" width="15.85546875" customWidth="1"/>
    <col min="27" max="27" width="13.85546875" bestFit="1" customWidth="1"/>
    <col min="28" max="28" width="12.7109375" bestFit="1" customWidth="1"/>
    <col min="29" max="29" width="13.85546875" bestFit="1" customWidth="1"/>
    <col min="30" max="30" width="13.5703125" customWidth="1"/>
    <col min="31" max="31" width="15.28515625" customWidth="1"/>
    <col min="32" max="33" width="13.85546875" customWidth="1"/>
    <col min="34" max="34" width="14.28515625" customWidth="1"/>
    <col min="35" max="36" width="13.85546875" customWidth="1"/>
    <col min="37" max="37" width="14.85546875" bestFit="1" customWidth="1"/>
    <col min="38" max="38" width="11.7109375" bestFit="1" customWidth="1"/>
    <col min="39" max="39" width="11.140625" style="118" bestFit="1" customWidth="1"/>
    <col min="40" max="40" width="13.85546875" bestFit="1" customWidth="1"/>
    <col min="41" max="41" width="14.85546875" style="37" customWidth="1"/>
    <col min="42" max="42" width="13.85546875" style="9" bestFit="1" customWidth="1"/>
    <col min="43" max="44" width="12.7109375" style="9" bestFit="1" customWidth="1"/>
    <col min="45" max="45" width="11.140625" style="9" bestFit="1" customWidth="1"/>
    <col min="46" max="46" width="13.85546875" style="9" bestFit="1" customWidth="1"/>
    <col min="47" max="47" width="18.5703125" bestFit="1" customWidth="1"/>
    <col min="48" max="48" width="14.28515625" customWidth="1"/>
  </cols>
  <sheetData>
    <row r="1" spans="1:48" x14ac:dyDescent="0.25">
      <c r="S1" t="s">
        <v>339</v>
      </c>
      <c r="U1" s="111">
        <v>0.66669999999999996</v>
      </c>
      <c r="AK1" t="s">
        <v>340</v>
      </c>
      <c r="AL1" s="25">
        <f>'Base Cost_Calc'!AX59</f>
        <v>0</v>
      </c>
    </row>
    <row r="2" spans="1:48" x14ac:dyDescent="0.25">
      <c r="D2" s="27"/>
      <c r="E2" s="27"/>
      <c r="F2" s="27"/>
      <c r="G2" s="27"/>
      <c r="H2" s="27"/>
      <c r="I2" s="27"/>
      <c r="J2" s="27"/>
      <c r="K2" s="27"/>
      <c r="L2" s="27"/>
      <c r="S2" t="s">
        <v>341</v>
      </c>
      <c r="U2" s="111">
        <v>0.66669999999999996</v>
      </c>
    </row>
    <row r="3" spans="1:48" ht="15" customHeight="1" x14ac:dyDescent="0.25">
      <c r="D3" s="35" t="s">
        <v>342</v>
      </c>
      <c r="E3" s="35"/>
      <c r="F3" s="35"/>
      <c r="G3" s="35"/>
      <c r="H3" s="35"/>
      <c r="I3" s="35"/>
      <c r="J3" s="35"/>
      <c r="K3" s="35"/>
      <c r="L3" s="35"/>
      <c r="N3" s="335" t="s">
        <v>343</v>
      </c>
      <c r="O3" s="335"/>
      <c r="P3" s="335"/>
      <c r="Q3" s="335"/>
      <c r="R3" s="335"/>
    </row>
    <row r="4" spans="1:48" s="4" customFormat="1" ht="76.5" customHeight="1" x14ac:dyDescent="0.25">
      <c r="A4" s="4" t="s">
        <v>93</v>
      </c>
      <c r="B4" s="3" t="s">
        <v>940</v>
      </c>
      <c r="C4" s="4" t="s">
        <v>95</v>
      </c>
      <c r="D4" s="112" t="s">
        <v>344</v>
      </c>
      <c r="E4" s="112" t="s">
        <v>345</v>
      </c>
      <c r="F4" s="3" t="s">
        <v>346</v>
      </c>
      <c r="G4" s="3" t="s">
        <v>347</v>
      </c>
      <c r="H4" s="3" t="s">
        <v>348</v>
      </c>
      <c r="I4" s="3" t="s">
        <v>349</v>
      </c>
      <c r="J4" s="113" t="s">
        <v>350</v>
      </c>
      <c r="K4" s="3" t="s">
        <v>351</v>
      </c>
      <c r="L4" s="3" t="s">
        <v>352</v>
      </c>
      <c r="M4" s="31" t="s">
        <v>353</v>
      </c>
      <c r="N4" s="136" t="s">
        <v>354</v>
      </c>
      <c r="O4" s="3" t="s">
        <v>355</v>
      </c>
      <c r="P4" s="3" t="s">
        <v>356</v>
      </c>
      <c r="Q4" s="3" t="s">
        <v>357</v>
      </c>
      <c r="R4" s="3" t="s">
        <v>358</v>
      </c>
      <c r="S4" s="5" t="s">
        <v>359</v>
      </c>
      <c r="T4" s="3" t="s">
        <v>360</v>
      </c>
      <c r="U4" s="3" t="s">
        <v>361</v>
      </c>
      <c r="V4" s="3" t="s">
        <v>362</v>
      </c>
      <c r="W4" s="3" t="s">
        <v>363</v>
      </c>
      <c r="X4" s="3" t="s">
        <v>364</v>
      </c>
      <c r="Y4" s="3" t="s">
        <v>365</v>
      </c>
      <c r="Z4" s="3" t="s">
        <v>333</v>
      </c>
      <c r="AA4" s="3" t="s">
        <v>334</v>
      </c>
      <c r="AB4" s="3" t="s">
        <v>335</v>
      </c>
      <c r="AC4" s="3" t="s">
        <v>366</v>
      </c>
      <c r="AD4" s="3" t="s">
        <v>337</v>
      </c>
      <c r="AE4" s="3" t="s">
        <v>367</v>
      </c>
      <c r="AF4" s="5" t="s">
        <v>368</v>
      </c>
      <c r="AG4" s="5" t="s">
        <v>369</v>
      </c>
      <c r="AH4" s="5" t="s">
        <v>370</v>
      </c>
      <c r="AI4" s="5" t="s">
        <v>371</v>
      </c>
      <c r="AJ4" s="3" t="s">
        <v>372</v>
      </c>
      <c r="AK4" s="3" t="s">
        <v>373</v>
      </c>
      <c r="AL4" s="3" t="s">
        <v>374</v>
      </c>
      <c r="AM4" s="121" t="s">
        <v>316</v>
      </c>
      <c r="AN4" s="3" t="s">
        <v>375</v>
      </c>
      <c r="AO4" s="122" t="s">
        <v>376</v>
      </c>
      <c r="AP4" s="134" t="s">
        <v>909</v>
      </c>
      <c r="AQ4" s="134" t="s">
        <v>910</v>
      </c>
      <c r="AR4" s="134" t="s">
        <v>911</v>
      </c>
      <c r="AS4" s="134" t="s">
        <v>912</v>
      </c>
      <c r="AT4" s="134" t="s">
        <v>913</v>
      </c>
      <c r="AU4" s="3" t="s">
        <v>377</v>
      </c>
      <c r="AV4" s="3" t="s">
        <v>951</v>
      </c>
    </row>
    <row r="5" spans="1:48" x14ac:dyDescent="0.25">
      <c r="A5" t="s">
        <v>101</v>
      </c>
      <c r="B5" t="s">
        <v>102</v>
      </c>
      <c r="C5" t="s">
        <v>202</v>
      </c>
      <c r="D5" s="1">
        <v>5971677.21</v>
      </c>
      <c r="E5" s="1">
        <v>1041899.62</v>
      </c>
      <c r="F5" s="1">
        <v>346348.82</v>
      </c>
      <c r="G5" s="1">
        <v>1798470.03</v>
      </c>
      <c r="H5" s="1">
        <v>2144818.85</v>
      </c>
      <c r="I5" s="1">
        <v>62212.41</v>
      </c>
      <c r="J5" s="1">
        <f>D5+E5-I5</f>
        <v>6951364.4199999999</v>
      </c>
      <c r="K5" s="1">
        <v>0</v>
      </c>
      <c r="L5" s="1">
        <v>689033.12</v>
      </c>
      <c r="M5" s="1">
        <v>4117512.45</v>
      </c>
      <c r="N5" s="1">
        <f>VLOOKUP(A5,'State Share Base Cost'!$A$3:$G$52,7,FALSE)</f>
        <v>8526987.9460407216</v>
      </c>
      <c r="O5" s="1">
        <f>VLOOKUP(A5,DPIA!$A$5:$H$54,8,FALSE)</f>
        <v>150745.78</v>
      </c>
      <c r="P5" s="1">
        <f>VLOOKUP(A5,EL!$A$5:$L$54,12,FALSE)</f>
        <v>1112.2863443175322</v>
      </c>
      <c r="Q5" s="1">
        <f>VLOOKUP(A5,'Special Edu'!$A$5:$Q$54,17,FALSE)</f>
        <v>1264017.51843603</v>
      </c>
      <c r="R5" s="1">
        <f>VLOOKUP(A5,CTE!$A$5:$R$54,18,FALSE)</f>
        <v>3233422.6996347308</v>
      </c>
      <c r="S5" s="1">
        <f>(N5-M5)*$U$1</f>
        <v>2939797.3132103486</v>
      </c>
      <c r="T5" s="1">
        <f t="shared" ref="T5:T36" si="0">(O5-I5)*$U$2</f>
        <v>59025.197778999995</v>
      </c>
      <c r="U5" s="1">
        <f t="shared" ref="U5:U36" si="1">(P5-K5)*$U$1</f>
        <v>741.56130575649865</v>
      </c>
      <c r="V5" s="1">
        <f t="shared" ref="V5:V36" si="2">(Q5-L5)*$U$1</f>
        <v>383342.09843730117</v>
      </c>
      <c r="W5" s="1">
        <f>(R5-H5)*$U$1</f>
        <v>725772.18655147497</v>
      </c>
      <c r="X5" s="1">
        <f>(M5+S5)+(I5+T5)+(K5+U5)+(L5+V5)+(H5+W5)</f>
        <v>11122255.187283881</v>
      </c>
      <c r="Y5" s="1">
        <f>J5+I5</f>
        <v>7013576.8300000001</v>
      </c>
      <c r="Z5" s="1">
        <f>IF(Y5&gt;X5,(Y5-X5),0)</f>
        <v>0</v>
      </c>
      <c r="AA5" s="1">
        <f>VLOOKUP(A5,'Detailed SFPR_Calc'!$A$5:$Q$54,17,FALSE)</f>
        <v>6172392.9400000004</v>
      </c>
      <c r="AB5" s="1">
        <f>VLOOKUP(A5,'Detailed SFPR_Calc'!$A$5:$R$54,18,FALSE)</f>
        <v>1204662.1599999999</v>
      </c>
      <c r="AC5" s="1">
        <f>AA5+AB5</f>
        <v>7377055.1000000006</v>
      </c>
      <c r="AD5" s="1">
        <f>MAX((AC5-(X5+Z5)),0)</f>
        <v>0</v>
      </c>
      <c r="AE5" s="1">
        <f>X5+Z5+AD5</f>
        <v>11122255.187283881</v>
      </c>
      <c r="AF5" s="9">
        <v>0</v>
      </c>
      <c r="AG5" s="9">
        <v>18080.98</v>
      </c>
      <c r="AH5" s="9">
        <v>73119.240000000005</v>
      </c>
      <c r="AI5" s="9">
        <v>-81195.899999999994</v>
      </c>
      <c r="AJ5" s="9">
        <f>AF5+AG5+AH5+AI5</f>
        <v>10004.320000000007</v>
      </c>
      <c r="AK5" s="9">
        <f>AE5+AJ5</f>
        <v>11132259.507283881</v>
      </c>
      <c r="AL5" s="9">
        <f>(S5+M5)*$AL$1</f>
        <v>0</v>
      </c>
      <c r="AM5" s="118">
        <f>VLOOKUP(A5,'Base Cost_Calc'!$A$7:$AY$56,51,FALSE)</f>
        <v>4.0537260342753276E-2</v>
      </c>
      <c r="AN5" s="9">
        <f>(S5+M5)*AM5</f>
        <v>286084.00319071236</v>
      </c>
      <c r="AO5" s="37">
        <f>IF(OR(Z5&gt;0,AD5&gt;0),1,0)</f>
        <v>0</v>
      </c>
      <c r="AP5" s="9">
        <f>M5+S5</f>
        <v>7057309.7632103488</v>
      </c>
      <c r="AQ5" s="9">
        <f>L5+V5</f>
        <v>1072375.2184373012</v>
      </c>
      <c r="AR5" s="9">
        <f>I5+T5</f>
        <v>121237.607779</v>
      </c>
      <c r="AS5" s="9">
        <f>K5+U5</f>
        <v>741.56130575649865</v>
      </c>
      <c r="AT5" s="9">
        <f>H5+W5</f>
        <v>2870591.0365514751</v>
      </c>
      <c r="AU5" s="9">
        <v>2843306005.3801279</v>
      </c>
      <c r="AV5" s="9">
        <v>255825.23</v>
      </c>
    </row>
    <row r="6" spans="1:48" x14ac:dyDescent="0.25">
      <c r="A6" t="s">
        <v>103</v>
      </c>
      <c r="B6" t="s">
        <v>104</v>
      </c>
      <c r="C6" t="s">
        <v>203</v>
      </c>
      <c r="D6" s="1">
        <v>3928409.93</v>
      </c>
      <c r="E6" s="1">
        <v>359032.09</v>
      </c>
      <c r="F6" s="1">
        <v>117870.89</v>
      </c>
      <c r="G6" s="1">
        <v>1324437.72</v>
      </c>
      <c r="H6" s="1">
        <v>1442308.61</v>
      </c>
      <c r="I6" s="1">
        <v>48419.48</v>
      </c>
      <c r="J6" s="1">
        <f t="shared" ref="J6:J53" si="3">D6+E6-I6</f>
        <v>4239022.54</v>
      </c>
      <c r="K6" s="1">
        <v>0</v>
      </c>
      <c r="L6" s="1">
        <v>370374.99</v>
      </c>
      <c r="M6" s="1">
        <v>2426338.94</v>
      </c>
      <c r="N6" s="1">
        <f>VLOOKUP(A6,'State Share Base Cost'!$A$3:$G$52,7,FALSE)</f>
        <v>5613427.4039291581</v>
      </c>
      <c r="O6" s="1">
        <f>VLOOKUP(A6,DPIA!$A$5:$H$54,8,FALSE)</f>
        <v>92962.39</v>
      </c>
      <c r="P6" s="1">
        <f>VLOOKUP(A6,EL!$A$5:$L$54,12,FALSE)</f>
        <v>75.449007745672475</v>
      </c>
      <c r="Q6" s="1">
        <f>VLOOKUP(A6,'Special Edu'!$A$5:$Q$54,17,FALSE)</f>
        <v>767285.83554210642</v>
      </c>
      <c r="R6" s="1">
        <f>VLOOKUP(A6,CTE!$A$5:$R$54,18,FALSE)</f>
        <v>2015876.3447844617</v>
      </c>
      <c r="S6" s="1">
        <f t="shared" ref="S6:S53" si="4">(N6-M6)*$U$1</f>
        <v>2124831.8789015696</v>
      </c>
      <c r="T6" s="1">
        <f t="shared" si="0"/>
        <v>29696.758096999994</v>
      </c>
      <c r="U6" s="1">
        <f t="shared" si="1"/>
        <v>50.301853464039837</v>
      </c>
      <c r="V6" s="1">
        <f t="shared" si="2"/>
        <v>264620.46072292235</v>
      </c>
      <c r="W6" s="1">
        <f t="shared" ref="W6:W53" si="5">(R6-H6)*$U$1</f>
        <v>382397.60878080048</v>
      </c>
      <c r="X6" s="1">
        <f t="shared" ref="X6:X53" si="6">(M6+S6)+(I6+T6)+(K6+U6)+(L6+V6)+(H6+W6)</f>
        <v>7089039.0283557568</v>
      </c>
      <c r="Y6" s="1">
        <f t="shared" ref="Y6:Y53" si="7">J6+I6</f>
        <v>4287442.0200000005</v>
      </c>
      <c r="Z6" s="1">
        <f t="shared" ref="Z6:Z53" si="8">IF(Y6&gt;X6,(Y6-X6),0)</f>
        <v>0</v>
      </c>
      <c r="AA6" s="1">
        <f>VLOOKUP(A6,'Detailed SFPR_Calc'!$A$5:$Q$54,17,FALSE)</f>
        <v>4124433.31</v>
      </c>
      <c r="AB6" s="1">
        <f>VLOOKUP(A6,'Detailed SFPR_Calc'!$A$5:$R$54,18,FALSE)</f>
        <v>404002.56</v>
      </c>
      <c r="AC6" s="1">
        <f t="shared" ref="AC6:AC53" si="9">AA6+AB6</f>
        <v>4528435.87</v>
      </c>
      <c r="AD6" s="1">
        <f t="shared" ref="AD6:AD53" si="10">MAX((AC6-(X6+Z6)),0)</f>
        <v>0</v>
      </c>
      <c r="AE6" s="1">
        <f t="shared" ref="AE6:AE53" si="11">X6+Z6+AD6</f>
        <v>7089039.0283557568</v>
      </c>
      <c r="AF6" s="9">
        <v>0</v>
      </c>
      <c r="AG6" s="9">
        <v>28528.99</v>
      </c>
      <c r="AH6" s="9">
        <v>34472.25</v>
      </c>
      <c r="AI6" s="9">
        <v>-49255.9</v>
      </c>
      <c r="AJ6" s="9">
        <f t="shared" ref="AJ6:AJ53" si="12">AF6+AG6+AH6+AI6</f>
        <v>13745.340000000004</v>
      </c>
      <c r="AK6" s="9">
        <f t="shared" ref="AK6:AK53" si="13">AE6+AJ6</f>
        <v>7102784.3683557566</v>
      </c>
      <c r="AL6" s="9">
        <f t="shared" ref="AL6:AL53" si="14">(S6+M6)*$AL$1</f>
        <v>0</v>
      </c>
      <c r="AM6" s="118">
        <f>VLOOKUP(A6,'Base Cost_Calc'!$A$7:$AY$56,51,FALSE)</f>
        <v>3.7664655049186861E-2</v>
      </c>
      <c r="AN6" s="9">
        <f t="shared" ref="AN6:AN53" si="15">(S6+M6)*AM6</f>
        <v>171418.27896385291</v>
      </c>
      <c r="AO6" s="37">
        <f t="shared" ref="AO6:AO53" si="16">IF(OR(Z6&gt;0,AD6&gt;0),1,0)</f>
        <v>0</v>
      </c>
      <c r="AP6" s="9">
        <f t="shared" ref="AP6:AP53" si="17">M6+S6</f>
        <v>4551170.8189015696</v>
      </c>
      <c r="AQ6" s="9">
        <f t="shared" ref="AQ6:AQ53" si="18">L6+V6</f>
        <v>634995.45072292234</v>
      </c>
      <c r="AR6" s="9">
        <f t="shared" ref="AR6:AR53" si="19">I6+T6</f>
        <v>78116.238096999994</v>
      </c>
      <c r="AS6" s="9">
        <f t="shared" ref="AS6:AS53" si="20">K6+U6</f>
        <v>50.301853464039837</v>
      </c>
      <c r="AT6" s="9">
        <f t="shared" ref="AT6:AT53" si="21">H6+W6</f>
        <v>1824706.2187808007</v>
      </c>
      <c r="AU6" s="9">
        <v>1125925683.7959366</v>
      </c>
      <c r="AV6" s="9">
        <v>147989.20000000001</v>
      </c>
    </row>
    <row r="7" spans="1:48" x14ac:dyDescent="0.25">
      <c r="A7" t="s">
        <v>105</v>
      </c>
      <c r="B7" t="s">
        <v>106</v>
      </c>
      <c r="C7" t="s">
        <v>204</v>
      </c>
      <c r="D7" s="1">
        <v>5258546.49</v>
      </c>
      <c r="E7" s="1">
        <v>45397.89</v>
      </c>
      <c r="F7" s="1">
        <v>13070.49</v>
      </c>
      <c r="G7" s="1">
        <v>1485362.98</v>
      </c>
      <c r="H7" s="1">
        <v>1498433.47</v>
      </c>
      <c r="I7" s="1">
        <v>214553.03</v>
      </c>
      <c r="J7" s="1">
        <f t="shared" si="3"/>
        <v>5089391.3499999996</v>
      </c>
      <c r="K7" s="1">
        <v>0</v>
      </c>
      <c r="L7" s="1">
        <v>817061.85</v>
      </c>
      <c r="M7" s="1">
        <v>2773896.03</v>
      </c>
      <c r="N7" s="1">
        <f>VLOOKUP(A7,'State Share Base Cost'!$A$3:$G$52,7,FALSE)</f>
        <v>5980248.3428032519</v>
      </c>
      <c r="O7" s="1">
        <f>VLOOKUP(A7,DPIA!$A$5:$H$54,8,FALSE)</f>
        <v>424701.2</v>
      </c>
      <c r="P7" s="1">
        <f>VLOOKUP(A7,EL!$A$5:$L$54,12,FALSE)</f>
        <v>16.979527228427788</v>
      </c>
      <c r="Q7" s="1">
        <f>VLOOKUP(A7,'Special Edu'!$A$5:$Q$54,17,FALSE)</f>
        <v>1379167.99</v>
      </c>
      <c r="R7" s="1">
        <f>VLOOKUP(A7,CTE!$A$5:$R$54,18,FALSE)</f>
        <v>2082509.1141263635</v>
      </c>
      <c r="S7" s="1">
        <f t="shared" si="4"/>
        <v>2137675.0869459282</v>
      </c>
      <c r="T7" s="1">
        <f t="shared" si="0"/>
        <v>140105.784939</v>
      </c>
      <c r="U7" s="1">
        <f t="shared" si="1"/>
        <v>11.320250803192806</v>
      </c>
      <c r="V7" s="1">
        <f t="shared" si="2"/>
        <v>374756.16353799996</v>
      </c>
      <c r="W7" s="1">
        <f t="shared" si="5"/>
        <v>389403.23193904659</v>
      </c>
      <c r="X7" s="1">
        <f t="shared" si="6"/>
        <v>8345895.9676127778</v>
      </c>
      <c r="Y7" s="1">
        <f t="shared" si="7"/>
        <v>5303944.38</v>
      </c>
      <c r="Z7" s="1">
        <f t="shared" si="8"/>
        <v>0</v>
      </c>
      <c r="AA7" s="1">
        <f>VLOOKUP(A7,'Detailed SFPR_Calc'!$A$5:$Q$54,17,FALSE)</f>
        <v>5537658.1699999999</v>
      </c>
      <c r="AB7" s="1">
        <f>VLOOKUP(A7,'Detailed SFPR_Calc'!$A$5:$R$54,18,FALSE)</f>
        <v>68487.929999999993</v>
      </c>
      <c r="AC7" s="1">
        <f t="shared" si="9"/>
        <v>5606146.0999999996</v>
      </c>
      <c r="AD7" s="1">
        <f t="shared" si="10"/>
        <v>0</v>
      </c>
      <c r="AE7" s="1">
        <f t="shared" si="11"/>
        <v>8345895.9676127778</v>
      </c>
      <c r="AF7" s="9">
        <v>0</v>
      </c>
      <c r="AG7" s="9">
        <v>20109.37</v>
      </c>
      <c r="AH7" s="9">
        <v>56248.59</v>
      </c>
      <c r="AI7" s="9">
        <v>-91086.76</v>
      </c>
      <c r="AJ7" s="9">
        <f t="shared" si="12"/>
        <v>-14728.800000000003</v>
      </c>
      <c r="AK7" s="9">
        <f t="shared" si="13"/>
        <v>8331167.167612778</v>
      </c>
      <c r="AL7" s="9">
        <f t="shared" si="14"/>
        <v>0</v>
      </c>
      <c r="AM7" s="118">
        <f>VLOOKUP(A7,'Base Cost_Calc'!$A$7:$AY$56,51,FALSE)</f>
        <v>3.9275299823567242E-2</v>
      </c>
      <c r="AN7" s="9">
        <f t="shared" si="15"/>
        <v>192903.42822282435</v>
      </c>
      <c r="AO7" s="37">
        <f t="shared" si="16"/>
        <v>0</v>
      </c>
      <c r="AP7" s="9">
        <f t="shared" si="17"/>
        <v>4911571.116945928</v>
      </c>
      <c r="AQ7" s="9">
        <f t="shared" si="18"/>
        <v>1191818.0135379999</v>
      </c>
      <c r="AR7" s="9">
        <f t="shared" si="19"/>
        <v>354658.814939</v>
      </c>
      <c r="AS7" s="9">
        <f t="shared" si="20"/>
        <v>11.320250803192806</v>
      </c>
      <c r="AT7" s="9">
        <f t="shared" si="21"/>
        <v>1887836.7019390466</v>
      </c>
      <c r="AU7" s="9">
        <v>2248271693.4050922</v>
      </c>
      <c r="AV7" s="9">
        <v>169250.48</v>
      </c>
    </row>
    <row r="8" spans="1:48" x14ac:dyDescent="0.25">
      <c r="A8" t="s">
        <v>107</v>
      </c>
      <c r="B8" t="s">
        <v>108</v>
      </c>
      <c r="C8" t="s">
        <v>205</v>
      </c>
      <c r="D8" s="1">
        <v>4317689.0999999996</v>
      </c>
      <c r="E8" s="1">
        <v>243518.55</v>
      </c>
      <c r="F8" s="1">
        <v>89707.55</v>
      </c>
      <c r="G8" s="1">
        <v>999791.04</v>
      </c>
      <c r="H8" s="1">
        <v>1089498.5900000001</v>
      </c>
      <c r="I8" s="1">
        <v>84479.89</v>
      </c>
      <c r="J8" s="1">
        <f t="shared" si="3"/>
        <v>4476727.76</v>
      </c>
      <c r="K8" s="1">
        <v>64.28</v>
      </c>
      <c r="L8" s="1">
        <v>543787.22</v>
      </c>
      <c r="M8" s="1">
        <v>2843377.67</v>
      </c>
      <c r="N8" s="1">
        <f>VLOOKUP(A8,'State Share Base Cost'!$A$3:$G$52,7,FALSE)</f>
        <v>4027723.0977582023</v>
      </c>
      <c r="O8" s="1">
        <f>VLOOKUP(A8,DPIA!$A$5:$H$54,8,FALSE)</f>
        <v>209661.52</v>
      </c>
      <c r="P8" s="1">
        <f>VLOOKUP(A8,EL!$A$5:$L$54,12,FALSE)</f>
        <v>2184.4301947530957</v>
      </c>
      <c r="Q8" s="1">
        <f>VLOOKUP(A8,'Special Edu'!$A$5:$Q$54,17,FALSE)</f>
        <v>692511.72</v>
      </c>
      <c r="R8" s="1">
        <f>VLOOKUP(A8,CTE!$A$5:$R$54,18,FALSE)</f>
        <v>1523607.4266664507</v>
      </c>
      <c r="S8" s="1">
        <f t="shared" si="4"/>
        <v>789603.09668639349</v>
      </c>
      <c r="T8" s="1">
        <f t="shared" si="0"/>
        <v>83458.592720999994</v>
      </c>
      <c r="U8" s="1">
        <f t="shared" si="1"/>
        <v>1413.5041348418888</v>
      </c>
      <c r="V8" s="1">
        <f t="shared" si="2"/>
        <v>99154.624149999989</v>
      </c>
      <c r="W8" s="1">
        <f t="shared" si="5"/>
        <v>289420.36140552262</v>
      </c>
      <c r="X8" s="1">
        <f t="shared" si="6"/>
        <v>5824257.829097758</v>
      </c>
      <c r="Y8" s="1">
        <f t="shared" si="7"/>
        <v>4561207.6499999994</v>
      </c>
      <c r="Z8" s="1">
        <f t="shared" si="8"/>
        <v>0</v>
      </c>
      <c r="AA8" s="1">
        <f>VLOOKUP(A8,'Detailed SFPR_Calc'!$A$5:$Q$54,17,FALSE)</f>
        <v>4467244.01</v>
      </c>
      <c r="AB8" s="1">
        <f>VLOOKUP(A8,'Detailed SFPR_Calc'!$A$5:$R$54,18,FALSE)</f>
        <v>196703.7</v>
      </c>
      <c r="AC8" s="1">
        <f t="shared" si="9"/>
        <v>4663947.71</v>
      </c>
      <c r="AD8" s="1">
        <f t="shared" si="10"/>
        <v>0</v>
      </c>
      <c r="AE8" s="1">
        <f t="shared" si="11"/>
        <v>5824257.829097758</v>
      </c>
      <c r="AF8" s="9">
        <v>-182486.32</v>
      </c>
      <c r="AG8" s="9">
        <v>20101.82</v>
      </c>
      <c r="AH8" s="9">
        <v>46477.18</v>
      </c>
      <c r="AI8" s="9">
        <v>-54623.69</v>
      </c>
      <c r="AJ8" s="9">
        <f t="shared" si="12"/>
        <v>-170531.01</v>
      </c>
      <c r="AK8" s="9">
        <f t="shared" si="13"/>
        <v>5653726.8190977583</v>
      </c>
      <c r="AL8" s="9">
        <f t="shared" si="14"/>
        <v>0</v>
      </c>
      <c r="AM8" s="118">
        <f>VLOOKUP(A8,'Base Cost_Calc'!$A$7:$AY$56,51,FALSE)</f>
        <v>3.5375325138753362E-2</v>
      </c>
      <c r="AN8" s="9">
        <f t="shared" si="15"/>
        <v>128517.87584436864</v>
      </c>
      <c r="AO8" s="37">
        <f t="shared" si="16"/>
        <v>0</v>
      </c>
      <c r="AP8" s="9">
        <f t="shared" si="17"/>
        <v>3632980.7666863934</v>
      </c>
      <c r="AQ8" s="9">
        <f t="shared" si="18"/>
        <v>642941.84415000002</v>
      </c>
      <c r="AR8" s="9">
        <f t="shared" si="19"/>
        <v>167938.48272099998</v>
      </c>
      <c r="AS8" s="9">
        <f t="shared" si="20"/>
        <v>1477.7841348418888</v>
      </c>
      <c r="AT8" s="9">
        <f t="shared" si="21"/>
        <v>1378918.9514055226</v>
      </c>
      <c r="AU8" s="9">
        <v>2817173535.7289395</v>
      </c>
      <c r="AV8" s="9">
        <v>113978.61</v>
      </c>
    </row>
    <row r="9" spans="1:48" x14ac:dyDescent="0.25">
      <c r="A9" t="s">
        <v>109</v>
      </c>
      <c r="B9" t="s">
        <v>110</v>
      </c>
      <c r="C9" t="s">
        <v>206</v>
      </c>
      <c r="D9" s="1">
        <v>29924880.629999999</v>
      </c>
      <c r="E9" s="1">
        <v>276461.49</v>
      </c>
      <c r="F9" s="1">
        <v>97125.69</v>
      </c>
      <c r="G9" s="1">
        <v>9692365.5700000003</v>
      </c>
      <c r="H9" s="1">
        <v>10543624.07</v>
      </c>
      <c r="I9" s="1">
        <v>152426.72</v>
      </c>
      <c r="J9" s="1">
        <f t="shared" si="3"/>
        <v>30048915.399999999</v>
      </c>
      <c r="K9" s="1">
        <v>46790.66</v>
      </c>
      <c r="L9" s="1">
        <v>2536866.27</v>
      </c>
      <c r="M9" s="1">
        <v>16921634.399999999</v>
      </c>
      <c r="N9" s="1">
        <f>VLOOKUP(A9,'State Share Base Cost'!$A$3:$G$52,7,FALSE)</f>
        <v>29698382.259257521</v>
      </c>
      <c r="O9" s="1">
        <f>VLOOKUP(A9,DPIA!$A$5:$H$54,8,FALSE)</f>
        <v>920431.5</v>
      </c>
      <c r="P9" s="1">
        <f>VLOOKUP(A9,EL!$A$5:$L$54,12,FALSE)</f>
        <v>159974.74420558446</v>
      </c>
      <c r="Q9" s="1">
        <f>VLOOKUP(A9,'Special Edu'!$A$5:$Q$54,17,FALSE)</f>
        <v>3957031.2231639489</v>
      </c>
      <c r="R9" s="1">
        <f>VLOOKUP(A9,CTE!$A$5:$R$54,18,FALSE)</f>
        <v>11411926.897918016</v>
      </c>
      <c r="S9" s="1">
        <f t="shared" si="4"/>
        <v>8518257.797766991</v>
      </c>
      <c r="T9" s="1">
        <f t="shared" si="0"/>
        <v>512028.78682599997</v>
      </c>
      <c r="U9" s="1">
        <f t="shared" si="1"/>
        <v>75459.828939863146</v>
      </c>
      <c r="V9" s="1">
        <f t="shared" si="2"/>
        <v>946823.97427440458</v>
      </c>
      <c r="W9" s="1">
        <f t="shared" si="5"/>
        <v>578897.4953729409</v>
      </c>
      <c r="X9" s="1">
        <f t="shared" si="6"/>
        <v>40832810.003180198</v>
      </c>
      <c r="Y9" s="1">
        <f t="shared" si="7"/>
        <v>30201342.119999997</v>
      </c>
      <c r="Z9" s="1">
        <f t="shared" si="8"/>
        <v>0</v>
      </c>
      <c r="AA9" s="1">
        <f>VLOOKUP(A9,'Detailed SFPR_Calc'!$A$5:$Q$54,17,FALSE)</f>
        <v>30582408.379999999</v>
      </c>
      <c r="AB9" s="1">
        <f>VLOOKUP(A9,'Detailed SFPR_Calc'!$A$5:$R$54,18,FALSE)</f>
        <v>319751.83</v>
      </c>
      <c r="AC9" s="1">
        <f t="shared" si="9"/>
        <v>30902160.209999997</v>
      </c>
      <c r="AD9" s="1">
        <f t="shared" si="10"/>
        <v>0</v>
      </c>
      <c r="AE9" s="1">
        <f t="shared" si="11"/>
        <v>40832810.003180198</v>
      </c>
      <c r="AF9" s="9">
        <v>0</v>
      </c>
      <c r="AG9" s="9">
        <v>88744.24</v>
      </c>
      <c r="AH9" s="9">
        <v>311140.87</v>
      </c>
      <c r="AI9" s="9">
        <v>-288826.86</v>
      </c>
      <c r="AJ9" s="9">
        <f t="shared" si="12"/>
        <v>111058.25</v>
      </c>
      <c r="AK9" s="9">
        <f t="shared" si="13"/>
        <v>40943868.253180198</v>
      </c>
      <c r="AL9" s="9">
        <f t="shared" si="14"/>
        <v>0</v>
      </c>
      <c r="AM9" s="118">
        <f>VLOOKUP(A9,'Base Cost_Calc'!$A$7:$AY$56,51,FALSE)</f>
        <v>4.1864603604536636E-2</v>
      </c>
      <c r="AN9" s="9">
        <f t="shared" si="15"/>
        <v>1065031.0026016594</v>
      </c>
      <c r="AO9" s="37">
        <f t="shared" si="16"/>
        <v>0</v>
      </c>
      <c r="AP9" s="9">
        <f t="shared" si="17"/>
        <v>25439892.197766989</v>
      </c>
      <c r="AQ9" s="9">
        <f t="shared" si="18"/>
        <v>3483690.2442744048</v>
      </c>
      <c r="AR9" s="9">
        <f t="shared" si="19"/>
        <v>664455.50682599994</v>
      </c>
      <c r="AS9" s="9">
        <f t="shared" si="20"/>
        <v>122250.48893986315</v>
      </c>
      <c r="AT9" s="9">
        <f t="shared" si="21"/>
        <v>11122521.565372942</v>
      </c>
      <c r="AU9" s="9">
        <v>12973213094.832582</v>
      </c>
      <c r="AV9" s="9">
        <v>950459.93</v>
      </c>
    </row>
    <row r="10" spans="1:48" x14ac:dyDescent="0.25">
      <c r="A10" t="s">
        <v>111</v>
      </c>
      <c r="B10" t="s">
        <v>112</v>
      </c>
      <c r="C10" t="s">
        <v>207</v>
      </c>
      <c r="D10" s="1">
        <v>3531426.42</v>
      </c>
      <c r="E10" s="1">
        <v>308005.5</v>
      </c>
      <c r="F10" s="1">
        <v>111512.7</v>
      </c>
      <c r="G10" s="1">
        <v>656649.69999999995</v>
      </c>
      <c r="H10" s="1">
        <v>768162.4</v>
      </c>
      <c r="I10" s="1">
        <v>45052.82</v>
      </c>
      <c r="J10" s="1">
        <f t="shared" si="3"/>
        <v>3794379.1</v>
      </c>
      <c r="K10" s="1">
        <v>0</v>
      </c>
      <c r="L10" s="1">
        <v>273721.93</v>
      </c>
      <c r="M10" s="1">
        <v>2752494.77</v>
      </c>
      <c r="N10" s="1">
        <f>VLOOKUP(A10,'State Share Base Cost'!$A$3:$G$52,7,FALSE)</f>
        <v>3037752.0815844294</v>
      </c>
      <c r="O10" s="1">
        <f>VLOOKUP(A10,DPIA!$A$5:$H$54,8,FALSE)</f>
        <v>79982.100000000006</v>
      </c>
      <c r="P10" s="1">
        <f>VLOOKUP(A10,EL!$A$5:$L$54,12,FALSE)</f>
        <v>0</v>
      </c>
      <c r="Q10" s="1">
        <f>VLOOKUP(A10,'Special Edu'!$A$5:$Q$54,17,FALSE)</f>
        <v>341380.01</v>
      </c>
      <c r="R10" s="1">
        <f>VLOOKUP(A10,CTE!$A$5:$R$54,18,FALSE)</f>
        <v>1067599.7956214824</v>
      </c>
      <c r="S10" s="1">
        <f t="shared" si="4"/>
        <v>190181.04963333905</v>
      </c>
      <c r="T10" s="1">
        <f t="shared" si="0"/>
        <v>23287.350976000002</v>
      </c>
      <c r="U10" s="1">
        <f t="shared" si="1"/>
        <v>0</v>
      </c>
      <c r="V10" s="1">
        <f t="shared" si="2"/>
        <v>45107.641936000007</v>
      </c>
      <c r="W10" s="1">
        <f t="shared" si="5"/>
        <v>199634.91166084231</v>
      </c>
      <c r="X10" s="1">
        <f t="shared" si="6"/>
        <v>4297642.8742061816</v>
      </c>
      <c r="Y10" s="1">
        <f t="shared" si="7"/>
        <v>3839431.92</v>
      </c>
      <c r="Z10" s="1">
        <f t="shared" si="8"/>
        <v>0</v>
      </c>
      <c r="AA10" s="1">
        <f>VLOOKUP(A10,'Detailed SFPR_Calc'!$A$5:$Q$54,17,FALSE)</f>
        <v>3647038.42</v>
      </c>
      <c r="AB10" s="1">
        <f>VLOOKUP(A10,'Detailed SFPR_Calc'!$A$5:$R$54,18,FALSE)</f>
        <v>408265.46</v>
      </c>
      <c r="AC10" s="1">
        <f t="shared" si="9"/>
        <v>4055303.88</v>
      </c>
      <c r="AD10" s="1">
        <f t="shared" si="10"/>
        <v>0</v>
      </c>
      <c r="AE10" s="1">
        <f t="shared" si="11"/>
        <v>4297642.8742061816</v>
      </c>
      <c r="AF10" s="9">
        <v>0</v>
      </c>
      <c r="AG10" s="9">
        <v>32784.42</v>
      </c>
      <c r="AH10" s="9">
        <v>42355.42</v>
      </c>
      <c r="AI10" s="9">
        <v>-26651.91</v>
      </c>
      <c r="AJ10" s="9">
        <f t="shared" si="12"/>
        <v>48487.929999999993</v>
      </c>
      <c r="AK10" s="9">
        <f t="shared" si="13"/>
        <v>4346130.8042061813</v>
      </c>
      <c r="AL10" s="9">
        <f t="shared" si="14"/>
        <v>0</v>
      </c>
      <c r="AM10" s="118">
        <f>VLOOKUP(A10,'Base Cost_Calc'!$A$7:$AY$56,51,FALSE)</f>
        <v>3.1153863862911274E-2</v>
      </c>
      <c r="AN10" s="9">
        <f t="shared" si="15"/>
        <v>91675.721877537901</v>
      </c>
      <c r="AO10" s="37">
        <f t="shared" si="16"/>
        <v>0</v>
      </c>
      <c r="AP10" s="9">
        <f t="shared" si="17"/>
        <v>2942675.8196333391</v>
      </c>
      <c r="AQ10" s="9">
        <f t="shared" si="18"/>
        <v>318829.57193600002</v>
      </c>
      <c r="AR10" s="9">
        <f t="shared" si="19"/>
        <v>68340.170975999994</v>
      </c>
      <c r="AS10" s="9">
        <f t="shared" si="20"/>
        <v>0</v>
      </c>
      <c r="AT10" s="9">
        <f t="shared" si="21"/>
        <v>967797.31166084227</v>
      </c>
      <c r="AU10" s="9">
        <v>1835177910.1440027</v>
      </c>
      <c r="AV10" s="9">
        <v>89267.23</v>
      </c>
    </row>
    <row r="11" spans="1:48" x14ac:dyDescent="0.25">
      <c r="A11" t="s">
        <v>113</v>
      </c>
      <c r="B11" t="s">
        <v>114</v>
      </c>
      <c r="C11" t="s">
        <v>208</v>
      </c>
      <c r="D11" s="1">
        <v>1664148.53</v>
      </c>
      <c r="E11" s="1">
        <v>0</v>
      </c>
      <c r="F11" s="1">
        <v>0</v>
      </c>
      <c r="G11" s="1">
        <v>95641.36</v>
      </c>
      <c r="H11" s="1">
        <v>95641.36</v>
      </c>
      <c r="I11" s="1">
        <v>17815.18</v>
      </c>
      <c r="J11" s="1">
        <f t="shared" si="3"/>
        <v>1646333.35</v>
      </c>
      <c r="K11" s="1">
        <v>28.4</v>
      </c>
      <c r="L11" s="1">
        <v>39137.31</v>
      </c>
      <c r="M11" s="1">
        <v>1511526.28</v>
      </c>
      <c r="N11" s="1">
        <f>VLOOKUP(A11,'State Share Base Cost'!$A$3:$G$52,7,FALSE)</f>
        <v>1052508.9201880288</v>
      </c>
      <c r="O11" s="1">
        <f>VLOOKUP(A11,DPIA!$A$5:$H$54,8,FALSE)</f>
        <v>42252.39</v>
      </c>
      <c r="P11" s="1">
        <f>VLOOKUP(A11,EL!$A$5:$L$54,12,FALSE)</f>
        <v>725.41082828533717</v>
      </c>
      <c r="Q11" s="1">
        <f>VLOOKUP(A11,'Special Edu'!$A$5:$Q$54,17,FALSE)</f>
        <v>140136.29999999999</v>
      </c>
      <c r="R11" s="1">
        <f>VLOOKUP(A11,CTE!$A$5:$R$54,18,FALSE)</f>
        <v>468604.32413855358</v>
      </c>
      <c r="S11" s="1">
        <f t="shared" si="4"/>
        <v>-306026.87378664117</v>
      </c>
      <c r="T11" s="1">
        <f t="shared" si="0"/>
        <v>16292.287906999998</v>
      </c>
      <c r="U11" s="1">
        <f t="shared" si="1"/>
        <v>464.69711921783426</v>
      </c>
      <c r="V11" s="1">
        <f t="shared" si="2"/>
        <v>67336.026632999987</v>
      </c>
      <c r="W11" s="1">
        <f t="shared" si="5"/>
        <v>248654.40819117366</v>
      </c>
      <c r="X11" s="1">
        <f t="shared" si="6"/>
        <v>1690869.0760637505</v>
      </c>
      <c r="Y11" s="1">
        <f t="shared" si="7"/>
        <v>1664148.53</v>
      </c>
      <c r="Z11" s="1">
        <f t="shared" si="8"/>
        <v>0</v>
      </c>
      <c r="AA11" s="1">
        <f>VLOOKUP(A11,'Detailed SFPR_Calc'!$A$5:$Q$54,17,FALSE)</f>
        <v>1716595.42</v>
      </c>
      <c r="AB11" s="1">
        <f>VLOOKUP(A11,'Detailed SFPR_Calc'!$A$5:$R$54,18,FALSE)</f>
        <v>10503.79</v>
      </c>
      <c r="AC11" s="1">
        <f t="shared" si="9"/>
        <v>1727099.21</v>
      </c>
      <c r="AD11" s="1">
        <f t="shared" si="10"/>
        <v>36230.133936249418</v>
      </c>
      <c r="AE11" s="1">
        <f t="shared" si="11"/>
        <v>1727099.21</v>
      </c>
      <c r="AF11" s="9">
        <v>0</v>
      </c>
      <c r="AG11" s="9">
        <v>39919.83</v>
      </c>
      <c r="AH11" s="9">
        <v>105346</v>
      </c>
      <c r="AI11" s="9">
        <v>-5580.74</v>
      </c>
      <c r="AJ11" s="9">
        <f t="shared" si="12"/>
        <v>139685.09000000003</v>
      </c>
      <c r="AK11" s="9">
        <f t="shared" si="13"/>
        <v>1866784.3</v>
      </c>
      <c r="AL11" s="9">
        <f t="shared" si="14"/>
        <v>0</v>
      </c>
      <c r="AM11" s="118">
        <f>VLOOKUP(A11,'Base Cost_Calc'!$A$7:$AY$56,51,FALSE)</f>
        <v>3.5141415548431948E-2</v>
      </c>
      <c r="AN11" s="9">
        <f t="shared" si="15"/>
        <v>42362.955577131615</v>
      </c>
      <c r="AO11" s="37">
        <f t="shared" si="16"/>
        <v>1</v>
      </c>
      <c r="AP11" s="9">
        <f t="shared" si="17"/>
        <v>1205499.406213359</v>
      </c>
      <c r="AQ11" s="9">
        <f t="shared" si="18"/>
        <v>106473.33663299998</v>
      </c>
      <c r="AR11" s="9">
        <f t="shared" si="19"/>
        <v>34107.467906999998</v>
      </c>
      <c r="AS11" s="9">
        <f t="shared" si="20"/>
        <v>493.09711921783423</v>
      </c>
      <c r="AT11" s="9">
        <f t="shared" si="21"/>
        <v>344295.76819117367</v>
      </c>
      <c r="AU11" s="9">
        <v>7774103659.8330221</v>
      </c>
      <c r="AV11" s="9">
        <v>43920.07</v>
      </c>
    </row>
    <row r="12" spans="1:48" x14ac:dyDescent="0.25">
      <c r="A12" t="s">
        <v>115</v>
      </c>
      <c r="B12" t="s">
        <v>116</v>
      </c>
      <c r="C12" t="s">
        <v>208</v>
      </c>
      <c r="D12" s="1">
        <v>2719635.99</v>
      </c>
      <c r="E12" s="1">
        <v>0</v>
      </c>
      <c r="F12" s="1">
        <v>0</v>
      </c>
      <c r="G12" s="1">
        <v>1065352.08</v>
      </c>
      <c r="H12" s="1">
        <v>1065352.08</v>
      </c>
      <c r="I12" s="1">
        <v>1337.48</v>
      </c>
      <c r="J12" s="1">
        <f t="shared" si="3"/>
        <v>2718298.5100000002</v>
      </c>
      <c r="K12" s="1">
        <v>0</v>
      </c>
      <c r="L12" s="1">
        <v>291165.58</v>
      </c>
      <c r="M12" s="1">
        <v>1361780.85</v>
      </c>
      <c r="N12" s="1">
        <f>VLOOKUP(A12,'State Share Base Cost'!$A$3:$G$52,7,FALSE)</f>
        <v>3775345.3116983511</v>
      </c>
      <c r="O12" s="1">
        <f>VLOOKUP(A12,DPIA!$A$5:$H$54,8,FALSE)</f>
        <v>0</v>
      </c>
      <c r="P12" s="1">
        <f>VLOOKUP(A12,EL!$A$5:$L$54,12,FALSE)</f>
        <v>341.47245588587458</v>
      </c>
      <c r="Q12" s="1">
        <f>VLOOKUP(A12,'Special Edu'!$A$5:$Q$54,17,FALSE)</f>
        <v>661531.97064627451</v>
      </c>
      <c r="R12" s="1">
        <f>VLOOKUP(A12,CTE!$A$5:$R$54,18,FALSE)</f>
        <v>1418640.3355977158</v>
      </c>
      <c r="S12" s="1">
        <f t="shared" si="4"/>
        <v>1609123.4266142906</v>
      </c>
      <c r="T12" s="1">
        <f t="shared" si="0"/>
        <v>-891.69791599999996</v>
      </c>
      <c r="U12" s="1">
        <f t="shared" si="1"/>
        <v>227.65968633911257</v>
      </c>
      <c r="V12" s="1">
        <f t="shared" si="2"/>
        <v>246923.2726438712</v>
      </c>
      <c r="W12" s="1">
        <f t="shared" si="5"/>
        <v>235537.28000699705</v>
      </c>
      <c r="X12" s="1">
        <f t="shared" si="6"/>
        <v>4810555.9310354982</v>
      </c>
      <c r="Y12" s="1">
        <f t="shared" si="7"/>
        <v>2719635.99</v>
      </c>
      <c r="Z12" s="1">
        <f t="shared" si="8"/>
        <v>0</v>
      </c>
      <c r="AA12" s="1">
        <f>VLOOKUP(A12,'Detailed SFPR_Calc'!$A$5:$Q$54,17,FALSE)</f>
        <v>2799215.01</v>
      </c>
      <c r="AB12" s="1">
        <f>VLOOKUP(A12,'Detailed SFPR_Calc'!$A$5:$R$54,18,FALSE)</f>
        <v>0</v>
      </c>
      <c r="AC12" s="1">
        <f t="shared" si="9"/>
        <v>2799215.01</v>
      </c>
      <c r="AD12" s="1">
        <f t="shared" si="10"/>
        <v>0</v>
      </c>
      <c r="AE12" s="1">
        <f t="shared" si="11"/>
        <v>4810555.9310354982</v>
      </c>
      <c r="AF12" s="9">
        <v>0</v>
      </c>
      <c r="AG12" s="9">
        <v>4081.43</v>
      </c>
      <c r="AH12" s="9">
        <v>94112</v>
      </c>
      <c r="AI12" s="9">
        <v>-36862.720000000001</v>
      </c>
      <c r="AJ12" s="9">
        <f t="shared" si="12"/>
        <v>61330.709999999992</v>
      </c>
      <c r="AK12" s="9">
        <f t="shared" si="13"/>
        <v>4871886.6410354981</v>
      </c>
      <c r="AL12" s="9">
        <f t="shared" si="14"/>
        <v>0</v>
      </c>
      <c r="AM12" s="118">
        <f>VLOOKUP(A12,'Base Cost_Calc'!$A$7:$AY$56,51,FALSE)</f>
        <v>4.0355512168613383E-2</v>
      </c>
      <c r="AN12" s="9">
        <f t="shared" si="15"/>
        <v>119892.36368669354</v>
      </c>
      <c r="AO12" s="37">
        <f t="shared" si="16"/>
        <v>0</v>
      </c>
      <c r="AP12" s="9">
        <f t="shared" si="17"/>
        <v>2970904.2766142907</v>
      </c>
      <c r="AQ12" s="9">
        <f t="shared" si="18"/>
        <v>538088.85264387121</v>
      </c>
      <c r="AR12" s="9">
        <f t="shared" si="19"/>
        <v>445.78208400000005</v>
      </c>
      <c r="AS12" s="9">
        <f t="shared" si="20"/>
        <v>227.65968633911257</v>
      </c>
      <c r="AT12" s="9">
        <f t="shared" si="21"/>
        <v>1300889.3600069971</v>
      </c>
      <c r="AU12" s="9">
        <v>6106016229.0492668</v>
      </c>
      <c r="AV12" s="9">
        <v>101280.9</v>
      </c>
    </row>
    <row r="13" spans="1:48" x14ac:dyDescent="0.25">
      <c r="A13" t="s">
        <v>117</v>
      </c>
      <c r="B13" t="s">
        <v>118</v>
      </c>
      <c r="C13" t="s">
        <v>209</v>
      </c>
      <c r="D13" s="1">
        <v>7222243.4199999999</v>
      </c>
      <c r="E13" s="1">
        <v>159773.76000000001</v>
      </c>
      <c r="F13" s="1">
        <v>52316.76</v>
      </c>
      <c r="G13" s="1">
        <v>2000055.48</v>
      </c>
      <c r="H13" s="1">
        <v>2052372.24</v>
      </c>
      <c r="I13" s="1">
        <v>84583.22</v>
      </c>
      <c r="J13" s="1">
        <f t="shared" si="3"/>
        <v>7297433.96</v>
      </c>
      <c r="K13" s="1">
        <v>784.83</v>
      </c>
      <c r="L13" s="1">
        <v>1205386.81</v>
      </c>
      <c r="M13" s="1">
        <v>4038890.08</v>
      </c>
      <c r="N13" s="1">
        <f>VLOOKUP(A13,'State Share Base Cost'!$A$3:$G$52,7,FALSE)</f>
        <v>7597844.8499981668</v>
      </c>
      <c r="O13" s="1">
        <f>VLOOKUP(A13,DPIA!$A$5:$H$54,8,FALSE)</f>
        <v>225092.12</v>
      </c>
      <c r="P13" s="1">
        <f>VLOOKUP(A13,EL!$A$5:$L$54,12,FALSE)</f>
        <v>6238.0490554346115</v>
      </c>
      <c r="Q13" s="1">
        <f>VLOOKUP(A13,'Special Edu'!$A$5:$Q$54,17,FALSE)</f>
        <v>1321301.4099999999</v>
      </c>
      <c r="R13" s="1">
        <f>VLOOKUP(A13,CTE!$A$5:$R$54,18,FALSE)</f>
        <v>2935157.0003290828</v>
      </c>
      <c r="S13" s="1">
        <f t="shared" si="4"/>
        <v>2372755.1451577777</v>
      </c>
      <c r="T13" s="1">
        <f t="shared" si="0"/>
        <v>93677.283629999991</v>
      </c>
      <c r="U13" s="1">
        <f t="shared" si="1"/>
        <v>3635.6611442582553</v>
      </c>
      <c r="V13" s="1">
        <f t="shared" si="2"/>
        <v>77280.263819999906</v>
      </c>
      <c r="W13" s="1">
        <f t="shared" si="5"/>
        <v>588552.59971139953</v>
      </c>
      <c r="X13" s="1">
        <f t="shared" si="6"/>
        <v>10517918.133463437</v>
      </c>
      <c r="Y13" s="1">
        <f t="shared" si="7"/>
        <v>7382017.1799999997</v>
      </c>
      <c r="Z13" s="1">
        <f t="shared" si="8"/>
        <v>0</v>
      </c>
      <c r="AA13" s="1">
        <f>VLOOKUP(A13,'Detailed SFPR_Calc'!$A$5:$Q$54,17,FALSE)</f>
        <v>7467613.3600000003</v>
      </c>
      <c r="AB13" s="1">
        <f>VLOOKUP(A13,'Detailed SFPR_Calc'!$A$5:$R$54,18,FALSE)</f>
        <v>120015</v>
      </c>
      <c r="AC13" s="1">
        <f t="shared" si="9"/>
        <v>7587628.3600000003</v>
      </c>
      <c r="AD13" s="1">
        <f t="shared" si="10"/>
        <v>0</v>
      </c>
      <c r="AE13" s="1">
        <f t="shared" si="11"/>
        <v>10517918.133463437</v>
      </c>
      <c r="AF13" s="9">
        <v>0</v>
      </c>
      <c r="AG13" s="9">
        <v>53498.68</v>
      </c>
      <c r="AH13" s="9">
        <v>102837.4</v>
      </c>
      <c r="AI13" s="9">
        <v>-120105.21</v>
      </c>
      <c r="AJ13" s="9">
        <f t="shared" si="12"/>
        <v>36230.869999999981</v>
      </c>
      <c r="AK13" s="9">
        <f t="shared" si="13"/>
        <v>10554149.003463436</v>
      </c>
      <c r="AL13" s="9">
        <f t="shared" si="14"/>
        <v>0</v>
      </c>
      <c r="AM13" s="118">
        <f>VLOOKUP(A13,'Base Cost_Calc'!$A$7:$AY$56,51,FALSE)</f>
        <v>4.0401194119990998E-2</v>
      </c>
      <c r="AN13" s="9">
        <f t="shared" si="15"/>
        <v>259038.12337011276</v>
      </c>
      <c r="AO13" s="37">
        <f t="shared" si="16"/>
        <v>0</v>
      </c>
      <c r="AP13" s="9">
        <f t="shared" si="17"/>
        <v>6411645.2251577778</v>
      </c>
      <c r="AQ13" s="9">
        <f t="shared" si="18"/>
        <v>1282667.07382</v>
      </c>
      <c r="AR13" s="9">
        <f t="shared" si="19"/>
        <v>178260.50362999999</v>
      </c>
      <c r="AS13" s="9">
        <f t="shared" si="20"/>
        <v>4420.4911442582552</v>
      </c>
      <c r="AT13" s="9">
        <f t="shared" si="21"/>
        <v>2640924.8397113997</v>
      </c>
      <c r="AU13" s="9">
        <v>4306285119.8299665</v>
      </c>
      <c r="AV13" s="9">
        <v>222943.83</v>
      </c>
    </row>
    <row r="14" spans="1:48" x14ac:dyDescent="0.25">
      <c r="A14" t="s">
        <v>119</v>
      </c>
      <c r="B14" t="s">
        <v>120</v>
      </c>
      <c r="C14" t="s">
        <v>210</v>
      </c>
      <c r="D14" s="1">
        <v>2301028.4700000002</v>
      </c>
      <c r="E14" s="1">
        <v>1273163.03</v>
      </c>
      <c r="F14" s="1">
        <v>506215.03</v>
      </c>
      <c r="G14" s="1">
        <v>86335.32</v>
      </c>
      <c r="H14" s="1">
        <v>592550.35</v>
      </c>
      <c r="I14" s="1">
        <v>5806.77</v>
      </c>
      <c r="J14" s="1">
        <f t="shared" si="3"/>
        <v>3568384.73</v>
      </c>
      <c r="K14" s="1">
        <v>0</v>
      </c>
      <c r="L14" s="1">
        <v>37029.96</v>
      </c>
      <c r="M14" s="1">
        <v>2938804.42</v>
      </c>
      <c r="N14" s="1">
        <f>VLOOKUP(A14,'State Share Base Cost'!$A$3:$G$52,7,FALSE)</f>
        <v>3752570.9112978438</v>
      </c>
      <c r="O14" s="1">
        <f>VLOOKUP(A14,DPIA!$A$5:$H$54,8,FALSE)</f>
        <v>18226.37</v>
      </c>
      <c r="P14" s="1">
        <f>VLOOKUP(A14,EL!$A$5:$L$54,12,FALSE)</f>
        <v>8721.2831839984465</v>
      </c>
      <c r="Q14" s="1">
        <f>VLOOKUP(A14,'Special Edu'!$A$5:$Q$54,17,FALSE)</f>
        <v>754168.76</v>
      </c>
      <c r="R14" s="1">
        <f>VLOOKUP(A14,CTE!$A$5:$R$54,18,FALSE)</f>
        <v>1712766.3432486916</v>
      </c>
      <c r="S14" s="1">
        <f t="shared" si="4"/>
        <v>542538.11974827247</v>
      </c>
      <c r="T14" s="1">
        <f t="shared" si="0"/>
        <v>8280.1473199999982</v>
      </c>
      <c r="U14" s="1">
        <f t="shared" si="1"/>
        <v>5814.4794987717642</v>
      </c>
      <c r="V14" s="1">
        <f t="shared" si="2"/>
        <v>478116.43796000001</v>
      </c>
      <c r="W14" s="1">
        <f t="shared" si="5"/>
        <v>746848.00269890274</v>
      </c>
      <c r="X14" s="1">
        <f t="shared" si="6"/>
        <v>5355788.6872259472</v>
      </c>
      <c r="Y14" s="1">
        <f t="shared" si="7"/>
        <v>3574191.5</v>
      </c>
      <c r="Z14" s="1">
        <f t="shared" si="8"/>
        <v>0</v>
      </c>
      <c r="AA14" s="1">
        <f>VLOOKUP(A14,'Detailed SFPR_Calc'!$A$5:$Q$54,17,FALSE)</f>
        <v>2359504.7400000002</v>
      </c>
      <c r="AB14" s="1">
        <f>VLOOKUP(A14,'Detailed SFPR_Calc'!$A$5:$R$54,18,FALSE)</f>
        <v>1478961.5</v>
      </c>
      <c r="AC14" s="1">
        <f t="shared" si="9"/>
        <v>3838466.24</v>
      </c>
      <c r="AD14" s="1">
        <f t="shared" si="10"/>
        <v>0</v>
      </c>
      <c r="AE14" s="1">
        <f t="shared" si="11"/>
        <v>5355788.6872259472</v>
      </c>
      <c r="AF14" s="9">
        <v>0</v>
      </c>
      <c r="AG14" s="9">
        <v>19878.849999999999</v>
      </c>
      <c r="AH14" s="9">
        <v>214816.25</v>
      </c>
      <c r="AI14" s="9">
        <v>1494689.9</v>
      </c>
      <c r="AJ14" s="9">
        <f t="shared" si="12"/>
        <v>1729385</v>
      </c>
      <c r="AK14" s="9">
        <f t="shared" si="13"/>
        <v>7085173.6872259472</v>
      </c>
      <c r="AL14" s="9">
        <f t="shared" si="14"/>
        <v>0</v>
      </c>
      <c r="AM14" s="118">
        <f>VLOOKUP(A14,'Base Cost_Calc'!$A$7:$AY$56,51,FALSE)</f>
        <v>3.9644333546890995E-2</v>
      </c>
      <c r="AN14" s="9">
        <f t="shared" si="15"/>
        <v>138015.50483676113</v>
      </c>
      <c r="AO14" s="37">
        <f t="shared" si="16"/>
        <v>0</v>
      </c>
      <c r="AP14" s="9">
        <f t="shared" si="17"/>
        <v>3481342.5397482724</v>
      </c>
      <c r="AQ14" s="9">
        <f t="shared" si="18"/>
        <v>515146.39796000003</v>
      </c>
      <c r="AR14" s="9">
        <f t="shared" si="19"/>
        <v>14086.917319999999</v>
      </c>
      <c r="AS14" s="9">
        <f t="shared" si="20"/>
        <v>5814.4794987717642</v>
      </c>
      <c r="AT14" s="9">
        <f t="shared" si="21"/>
        <v>1339398.3526989026</v>
      </c>
      <c r="AU14" s="9">
        <v>9102258781.2688065</v>
      </c>
      <c r="AV14" s="9">
        <v>134018.5</v>
      </c>
    </row>
    <row r="15" spans="1:48" x14ac:dyDescent="0.25">
      <c r="A15" t="s">
        <v>121</v>
      </c>
      <c r="B15" t="s">
        <v>122</v>
      </c>
      <c r="C15" t="s">
        <v>211</v>
      </c>
      <c r="D15" s="1">
        <v>4829191.1399999997</v>
      </c>
      <c r="E15" s="1">
        <v>521489.42</v>
      </c>
      <c r="F15" s="1">
        <v>174436.42</v>
      </c>
      <c r="G15" s="1">
        <v>985115.16</v>
      </c>
      <c r="H15" s="1">
        <v>1159551.58</v>
      </c>
      <c r="I15" s="1">
        <v>3009.49</v>
      </c>
      <c r="J15" s="1">
        <f t="shared" si="3"/>
        <v>5347671.0699999994</v>
      </c>
      <c r="K15" s="1">
        <v>11730.54</v>
      </c>
      <c r="L15" s="1">
        <v>447082.98</v>
      </c>
      <c r="M15" s="1">
        <v>3729305.97</v>
      </c>
      <c r="N15" s="1">
        <f>VLOOKUP(A15,'State Share Base Cost'!$A$3:$G$52,7,FALSE)</f>
        <v>8602706.9248135276</v>
      </c>
      <c r="O15" s="1">
        <f>VLOOKUP(A15,DPIA!$A$5:$H$54,8,FALSE)</f>
        <v>203036.86</v>
      </c>
      <c r="P15" s="1">
        <f>VLOOKUP(A15,EL!$A$5:$L$54,12,FALSE)</f>
        <v>35714.772637274167</v>
      </c>
      <c r="Q15" s="1">
        <f>VLOOKUP(A15,'Special Edu'!$A$5:$Q$54,17,FALSE)</f>
        <v>1200763.1725091047</v>
      </c>
      <c r="R15" s="1">
        <f>VLOOKUP(A15,CTE!$A$5:$R$54,18,FALSE)</f>
        <v>3122991.7980680587</v>
      </c>
      <c r="S15" s="1">
        <f t="shared" si="4"/>
        <v>3249096.4165741783</v>
      </c>
      <c r="T15" s="1">
        <f t="shared" si="0"/>
        <v>133358.24757899999</v>
      </c>
      <c r="U15" s="1">
        <f t="shared" si="1"/>
        <v>15990.287899270686</v>
      </c>
      <c r="V15" s="1">
        <f t="shared" si="2"/>
        <v>502478.58434582007</v>
      </c>
      <c r="W15" s="1">
        <f t="shared" si="5"/>
        <v>1309025.5933859746</v>
      </c>
      <c r="X15" s="1">
        <f t="shared" si="6"/>
        <v>10560629.689784244</v>
      </c>
      <c r="Y15" s="1">
        <f t="shared" si="7"/>
        <v>5350680.5599999996</v>
      </c>
      <c r="Z15" s="1">
        <f t="shared" si="8"/>
        <v>0</v>
      </c>
      <c r="AA15" s="1">
        <f>VLOOKUP(A15,'Detailed SFPR_Calc'!$A$5:$Q$54,17,FALSE)</f>
        <v>5116943.8899999997</v>
      </c>
      <c r="AB15" s="1">
        <f>VLOOKUP(A15,'Detailed SFPR_Calc'!$A$5:$R$54,18,FALSE)</f>
        <v>392690.89</v>
      </c>
      <c r="AC15" s="1">
        <f t="shared" si="9"/>
        <v>5509634.7799999993</v>
      </c>
      <c r="AD15" s="1">
        <f t="shared" si="10"/>
        <v>0</v>
      </c>
      <c r="AE15" s="1">
        <f t="shared" si="11"/>
        <v>10560629.689784244</v>
      </c>
      <c r="AF15" s="9">
        <v>0</v>
      </c>
      <c r="AG15" s="9">
        <v>122139.98</v>
      </c>
      <c r="AH15" s="9">
        <v>308722.07</v>
      </c>
      <c r="AI15" s="9">
        <v>44285.919999999998</v>
      </c>
      <c r="AJ15" s="9">
        <f t="shared" si="12"/>
        <v>475147.97</v>
      </c>
      <c r="AK15" s="9">
        <f t="shared" si="13"/>
        <v>11035777.659784244</v>
      </c>
      <c r="AL15" s="9">
        <f t="shared" si="14"/>
        <v>0</v>
      </c>
      <c r="AM15" s="118">
        <f>VLOOKUP(A15,'Base Cost_Calc'!$A$7:$AY$56,51,FALSE)</f>
        <v>4.2066955686146587E-2</v>
      </c>
      <c r="AN15" s="9">
        <f t="shared" si="15"/>
        <v>293560.14395611559</v>
      </c>
      <c r="AO15" s="37">
        <f t="shared" si="16"/>
        <v>0</v>
      </c>
      <c r="AP15" s="9">
        <f t="shared" si="17"/>
        <v>6978402.3865741789</v>
      </c>
      <c r="AQ15" s="9">
        <f t="shared" si="18"/>
        <v>949561.56434582011</v>
      </c>
      <c r="AR15" s="9">
        <f t="shared" si="19"/>
        <v>136367.73757899998</v>
      </c>
      <c r="AS15" s="9">
        <f t="shared" si="20"/>
        <v>27720.827899270687</v>
      </c>
      <c r="AT15" s="9">
        <f t="shared" si="21"/>
        <v>2468577.173385975</v>
      </c>
      <c r="AU15" s="9">
        <v>12285982194.376919</v>
      </c>
      <c r="AV15" s="9">
        <v>243605.74</v>
      </c>
    </row>
    <row r="16" spans="1:48" x14ac:dyDescent="0.25">
      <c r="A16" t="s">
        <v>123</v>
      </c>
      <c r="B16" t="s">
        <v>124</v>
      </c>
      <c r="C16" t="s">
        <v>212</v>
      </c>
      <c r="D16" s="1">
        <v>5194542.9000000004</v>
      </c>
      <c r="E16" s="1">
        <v>476065.26</v>
      </c>
      <c r="F16" s="1">
        <v>153152.46</v>
      </c>
      <c r="G16" s="1">
        <v>1510542.5</v>
      </c>
      <c r="H16" s="1">
        <v>1663694.96</v>
      </c>
      <c r="I16" s="1">
        <v>76928.539999999994</v>
      </c>
      <c r="J16" s="1">
        <f t="shared" si="3"/>
        <v>5593679.6200000001</v>
      </c>
      <c r="K16" s="1">
        <v>719.07</v>
      </c>
      <c r="L16" s="1">
        <v>733977.71</v>
      </c>
      <c r="M16" s="1">
        <v>3195287.88</v>
      </c>
      <c r="N16" s="1">
        <f>VLOOKUP(A16,'State Share Base Cost'!$A$3:$G$52,7,FALSE)</f>
        <v>5954799.3095878828</v>
      </c>
      <c r="O16" s="1">
        <f>VLOOKUP(A16,DPIA!$A$5:$H$54,8,FALSE)</f>
        <v>225497.96</v>
      </c>
      <c r="P16" s="1">
        <f>VLOOKUP(A16,EL!$A$5:$L$54,12,FALSE)</f>
        <v>3345.1336734595766</v>
      </c>
      <c r="Q16" s="1">
        <f>VLOOKUP(A16,'Special Edu'!$A$5:$Q$54,17,FALSE)</f>
        <v>959398.28</v>
      </c>
      <c r="R16" s="1">
        <f>VLOOKUP(A16,CTE!$A$5:$R$54,18,FALSE)</f>
        <v>2148043.5881247479</v>
      </c>
      <c r="S16" s="1">
        <f t="shared" si="4"/>
        <v>1839766.2701062413</v>
      </c>
      <c r="T16" s="1">
        <f t="shared" si="0"/>
        <v>99051.232313999979</v>
      </c>
      <c r="U16" s="1">
        <f t="shared" si="1"/>
        <v>1750.7966510954996</v>
      </c>
      <c r="V16" s="1">
        <f t="shared" si="2"/>
        <v>150287.89401900003</v>
      </c>
      <c r="W16" s="1">
        <f t="shared" si="5"/>
        <v>322915.23037076939</v>
      </c>
      <c r="X16" s="1">
        <f t="shared" si="6"/>
        <v>8084379.5834611058</v>
      </c>
      <c r="Y16" s="1">
        <f t="shared" si="7"/>
        <v>5670608.1600000001</v>
      </c>
      <c r="Z16" s="1">
        <f t="shared" si="8"/>
        <v>0</v>
      </c>
      <c r="AA16" s="1">
        <f>VLOOKUP(A16,'Detailed SFPR_Calc'!$A$5:$Q$54,17,FALSE)</f>
        <v>5392868.0599999996</v>
      </c>
      <c r="AB16" s="1">
        <f>VLOOKUP(A16,'Detailed SFPR_Calc'!$A$5:$R$54,18,FALSE)</f>
        <v>409009.65</v>
      </c>
      <c r="AC16" s="1">
        <f t="shared" si="9"/>
        <v>5801877.71</v>
      </c>
      <c r="AD16" s="1">
        <f t="shared" si="10"/>
        <v>0</v>
      </c>
      <c r="AE16" s="1">
        <f t="shared" si="11"/>
        <v>8084379.5834611058</v>
      </c>
      <c r="AF16" s="9">
        <v>0</v>
      </c>
      <c r="AG16" s="9">
        <v>155722.14000000001</v>
      </c>
      <c r="AH16" s="9">
        <v>74548.039999999994</v>
      </c>
      <c r="AI16" s="9">
        <v>-76199.77</v>
      </c>
      <c r="AJ16" s="9">
        <f t="shared" si="12"/>
        <v>154070.40999999997</v>
      </c>
      <c r="AK16" s="9">
        <f t="shared" si="13"/>
        <v>8238449.993461106</v>
      </c>
      <c r="AL16" s="9">
        <f t="shared" si="14"/>
        <v>0</v>
      </c>
      <c r="AM16" s="118">
        <f>VLOOKUP(A16,'Base Cost_Calc'!$A$7:$AY$56,51,FALSE)</f>
        <v>3.9472044894502185E-2</v>
      </c>
      <c r="AN16" s="9">
        <f t="shared" si="15"/>
        <v>198743.88345924308</v>
      </c>
      <c r="AO16" s="37">
        <f t="shared" si="16"/>
        <v>0</v>
      </c>
      <c r="AP16" s="9">
        <f t="shared" si="17"/>
        <v>5035054.150106241</v>
      </c>
      <c r="AQ16" s="9">
        <f t="shared" si="18"/>
        <v>884265.60401899996</v>
      </c>
      <c r="AR16" s="9">
        <f t="shared" si="19"/>
        <v>175979.77231399997</v>
      </c>
      <c r="AS16" s="9">
        <f t="shared" si="20"/>
        <v>2469.8666510954995</v>
      </c>
      <c r="AT16" s="9">
        <f t="shared" si="21"/>
        <v>1986610.1903707692</v>
      </c>
      <c r="AU16" s="9">
        <v>4309263422.5119152</v>
      </c>
      <c r="AV16" s="9">
        <v>175617.86</v>
      </c>
    </row>
    <row r="17" spans="1:48" x14ac:dyDescent="0.25">
      <c r="A17" t="s">
        <v>125</v>
      </c>
      <c r="B17" t="s">
        <v>126</v>
      </c>
      <c r="C17" t="s">
        <v>213</v>
      </c>
      <c r="D17" s="1">
        <v>5334285.63</v>
      </c>
      <c r="E17" s="1">
        <v>300500.76</v>
      </c>
      <c r="F17" s="1">
        <v>98288.960000000006</v>
      </c>
      <c r="G17" s="1">
        <v>1679493.89</v>
      </c>
      <c r="H17" s="1">
        <v>1777782.85</v>
      </c>
      <c r="I17" s="1">
        <v>31630.39</v>
      </c>
      <c r="J17" s="1">
        <f t="shared" si="3"/>
        <v>5603156</v>
      </c>
      <c r="K17" s="1">
        <v>1640.17</v>
      </c>
      <c r="L17" s="1">
        <v>1071389.03</v>
      </c>
      <c r="M17" s="1">
        <v>2752343.95</v>
      </c>
      <c r="N17" s="1">
        <f>VLOOKUP(A17,'State Share Base Cost'!$A$3:$G$52,7,FALSE)</f>
        <v>9143459.9089161903</v>
      </c>
      <c r="O17" s="1">
        <f>VLOOKUP(A17,DPIA!$A$5:$H$54,8,FALSE)</f>
        <v>63190.8</v>
      </c>
      <c r="P17" s="1">
        <f>VLOOKUP(A17,EL!$A$5:$L$54,12,FALSE)</f>
        <v>3772.9942657994902</v>
      </c>
      <c r="Q17" s="1">
        <f>VLOOKUP(A17,'Special Edu'!$A$5:$Q$54,17,FALSE)</f>
        <v>1659191.6922374205</v>
      </c>
      <c r="R17" s="1">
        <f>VLOOKUP(A17,CTE!$A$5:$R$54,18,FALSE)</f>
        <v>3514429.7163241585</v>
      </c>
      <c r="S17" s="1">
        <f t="shared" si="4"/>
        <v>4260957.0098094232</v>
      </c>
      <c r="T17" s="1">
        <f t="shared" si="0"/>
        <v>21041.325347000002</v>
      </c>
      <c r="U17" s="1">
        <f t="shared" si="1"/>
        <v>1421.95393800852</v>
      </c>
      <c r="V17" s="1">
        <f t="shared" si="2"/>
        <v>391888.0349136882</v>
      </c>
      <c r="W17" s="1">
        <f t="shared" si="5"/>
        <v>1157822.4657783164</v>
      </c>
      <c r="X17" s="1">
        <f t="shared" si="6"/>
        <v>11467917.179786438</v>
      </c>
      <c r="Y17" s="1">
        <f t="shared" si="7"/>
        <v>5634786.3899999997</v>
      </c>
      <c r="Z17" s="1">
        <f t="shared" si="8"/>
        <v>0</v>
      </c>
      <c r="AA17" s="1">
        <f>VLOOKUP(A17,'Detailed SFPR_Calc'!$A$5:$Q$54,17,FALSE)</f>
        <v>5554746.04</v>
      </c>
      <c r="AB17" s="1">
        <f>VLOOKUP(A17,'Detailed SFPR_Calc'!$A$5:$R$54,18,FALSE)</f>
        <v>224663.09</v>
      </c>
      <c r="AC17" s="1">
        <f t="shared" si="9"/>
        <v>5779409.1299999999</v>
      </c>
      <c r="AD17" s="1">
        <f t="shared" si="10"/>
        <v>0</v>
      </c>
      <c r="AE17" s="1">
        <f t="shared" si="11"/>
        <v>11467917.179786438</v>
      </c>
      <c r="AF17" s="9">
        <v>0</v>
      </c>
      <c r="AG17" s="9">
        <v>15842.21</v>
      </c>
      <c r="AH17" s="9">
        <v>102289.39</v>
      </c>
      <c r="AI17" s="9">
        <v>-90869.74</v>
      </c>
      <c r="AJ17" s="9">
        <f t="shared" si="12"/>
        <v>27261.86</v>
      </c>
      <c r="AK17" s="9">
        <f t="shared" si="13"/>
        <v>11495179.039786438</v>
      </c>
      <c r="AL17" s="9">
        <f t="shared" si="14"/>
        <v>0</v>
      </c>
      <c r="AM17" s="118">
        <f>VLOOKUP(A17,'Base Cost_Calc'!$A$7:$AY$56,51,FALSE)</f>
        <v>4.1347903146672069E-2</v>
      </c>
      <c r="AN17" s="9">
        <f t="shared" si="15"/>
        <v>289985.28882466228</v>
      </c>
      <c r="AO17" s="37">
        <f t="shared" si="16"/>
        <v>0</v>
      </c>
      <c r="AP17" s="9">
        <f t="shared" si="17"/>
        <v>7013300.9598094234</v>
      </c>
      <c r="AQ17" s="9">
        <f t="shared" si="18"/>
        <v>1463277.0649136882</v>
      </c>
      <c r="AR17" s="9">
        <f t="shared" si="19"/>
        <v>52671.715347000005</v>
      </c>
      <c r="AS17" s="9">
        <f t="shared" si="20"/>
        <v>3062.1239380085199</v>
      </c>
      <c r="AT17" s="9">
        <f t="shared" si="21"/>
        <v>2935605.3157783165</v>
      </c>
      <c r="AU17" s="9">
        <v>5396991697.8377981</v>
      </c>
      <c r="AV17" s="9">
        <v>231718.2</v>
      </c>
    </row>
    <row r="18" spans="1:48" x14ac:dyDescent="0.25">
      <c r="A18" t="s">
        <v>127</v>
      </c>
      <c r="B18" t="s">
        <v>128</v>
      </c>
      <c r="C18" t="s">
        <v>214</v>
      </c>
      <c r="D18" s="1">
        <v>18595900.260000002</v>
      </c>
      <c r="E18" s="1">
        <v>789326.57</v>
      </c>
      <c r="F18" s="1">
        <v>241024.97</v>
      </c>
      <c r="G18" s="1">
        <v>6859427.29</v>
      </c>
      <c r="H18" s="1">
        <v>7100452.2599999998</v>
      </c>
      <c r="I18" s="1">
        <v>257397.67</v>
      </c>
      <c r="J18" s="1">
        <f t="shared" si="3"/>
        <v>19127829.16</v>
      </c>
      <c r="K18" s="1">
        <v>9117.48</v>
      </c>
      <c r="L18" s="1">
        <v>2148971.66</v>
      </c>
      <c r="M18" s="1">
        <v>9869287.7599999998</v>
      </c>
      <c r="N18" s="1">
        <f>VLOOKUP(A18,'State Share Base Cost'!$A$3:$G$52,7,FALSE)</f>
        <v>29786138.437794179</v>
      </c>
      <c r="O18" s="1">
        <f>VLOOKUP(A18,DPIA!$A$5:$H$54,8,FALSE)</f>
        <v>782254.73</v>
      </c>
      <c r="P18" s="1">
        <f>VLOOKUP(A18,EL!$A$5:$L$54,12,FALSE)</f>
        <v>37397.696222748607</v>
      </c>
      <c r="Q18" s="1">
        <f>VLOOKUP(A18,'Special Edu'!$A$5:$Q$54,17,FALSE)</f>
        <v>3747803.8603166216</v>
      </c>
      <c r="R18" s="1">
        <f>VLOOKUP(A18,CTE!$A$5:$R$54,18,FALSE)</f>
        <v>11854910.79480066</v>
      </c>
      <c r="S18" s="1">
        <f t="shared" si="4"/>
        <v>13278564.346885379</v>
      </c>
      <c r="T18" s="1">
        <f t="shared" si="0"/>
        <v>349922.20190199994</v>
      </c>
      <c r="U18" s="1">
        <f t="shared" si="1"/>
        <v>18854.420155706495</v>
      </c>
      <c r="V18" s="1">
        <f t="shared" si="2"/>
        <v>1065941.4279510914</v>
      </c>
      <c r="W18" s="1">
        <f t="shared" si="5"/>
        <v>3169797.5051515996</v>
      </c>
      <c r="X18" s="1">
        <f t="shared" si="6"/>
        <v>37268306.732045777</v>
      </c>
      <c r="Y18" s="1">
        <f t="shared" si="7"/>
        <v>19385226.830000002</v>
      </c>
      <c r="Z18" s="1">
        <f t="shared" si="8"/>
        <v>0</v>
      </c>
      <c r="AA18" s="1">
        <f>VLOOKUP(A18,'Detailed SFPR_Calc'!$A$5:$Q$54,17,FALSE)</f>
        <v>19445707.649999999</v>
      </c>
      <c r="AB18" s="1">
        <f>VLOOKUP(A18,'Detailed SFPR_Calc'!$A$5:$R$54,18,FALSE)</f>
        <v>835062.06</v>
      </c>
      <c r="AC18" s="1">
        <f t="shared" si="9"/>
        <v>20280769.709999997</v>
      </c>
      <c r="AD18" s="1">
        <f t="shared" si="10"/>
        <v>0</v>
      </c>
      <c r="AE18" s="1">
        <f t="shared" si="11"/>
        <v>37268306.732045777</v>
      </c>
      <c r="AF18" s="9">
        <v>0</v>
      </c>
      <c r="AG18" s="9">
        <v>20879.07</v>
      </c>
      <c r="AH18" s="9">
        <v>506524.73</v>
      </c>
      <c r="AI18" s="9">
        <v>-239243.49</v>
      </c>
      <c r="AJ18" s="9">
        <f t="shared" si="12"/>
        <v>288160.30999999994</v>
      </c>
      <c r="AK18" s="9">
        <f t="shared" si="13"/>
        <v>37556467.04204578</v>
      </c>
      <c r="AL18" s="9">
        <f t="shared" si="14"/>
        <v>0</v>
      </c>
      <c r="AM18" s="118">
        <f>VLOOKUP(A18,'Base Cost_Calc'!$A$7:$AY$56,51,FALSE)</f>
        <v>4.1042970775781812E-2</v>
      </c>
      <c r="AN18" s="9">
        <f t="shared" si="15"/>
        <v>950056.61754501611</v>
      </c>
      <c r="AO18" s="37">
        <f t="shared" si="16"/>
        <v>0</v>
      </c>
      <c r="AP18" s="9">
        <f t="shared" si="17"/>
        <v>23147852.106885381</v>
      </c>
      <c r="AQ18" s="9">
        <f t="shared" si="18"/>
        <v>3214913.0879510916</v>
      </c>
      <c r="AR18" s="9">
        <f t="shared" si="19"/>
        <v>607319.87190199993</v>
      </c>
      <c r="AS18" s="9">
        <f t="shared" si="20"/>
        <v>27971.900155706495</v>
      </c>
      <c r="AT18" s="9">
        <f t="shared" si="21"/>
        <v>10270249.765151599</v>
      </c>
      <c r="AU18" s="9">
        <v>25229215921.735603</v>
      </c>
      <c r="AV18" s="9">
        <v>771594.96</v>
      </c>
    </row>
    <row r="19" spans="1:48" x14ac:dyDescent="0.25">
      <c r="A19" t="s">
        <v>129</v>
      </c>
      <c r="B19" t="s">
        <v>130</v>
      </c>
      <c r="C19" t="s">
        <v>215</v>
      </c>
      <c r="D19" s="1">
        <v>2531204.58</v>
      </c>
      <c r="E19" s="1">
        <v>197911.13</v>
      </c>
      <c r="F19" s="1">
        <v>61678.53</v>
      </c>
      <c r="G19" s="1">
        <v>603366.96</v>
      </c>
      <c r="H19" s="1">
        <v>665045.49</v>
      </c>
      <c r="I19" s="1">
        <v>107731.42</v>
      </c>
      <c r="J19" s="1">
        <f t="shared" si="3"/>
        <v>2621384.29</v>
      </c>
      <c r="K19" s="1">
        <v>0</v>
      </c>
      <c r="L19" s="1">
        <v>354013.69</v>
      </c>
      <c r="M19" s="1">
        <v>1602325.11</v>
      </c>
      <c r="N19" s="1">
        <f>VLOOKUP(A19,'State Share Base Cost'!$A$3:$G$52,7,FALSE)</f>
        <v>3268021.9803448077</v>
      </c>
      <c r="O19" s="1">
        <f>VLOOKUP(A19,DPIA!$A$5:$H$54,8,FALSE)</f>
        <v>197137.74</v>
      </c>
      <c r="P19" s="1">
        <f>VLOOKUP(A19,EL!$A$5:$L$54,12,FALSE)</f>
        <v>0</v>
      </c>
      <c r="Q19" s="1">
        <f>VLOOKUP(A19,'Special Edu'!$A$5:$Q$54,17,FALSE)</f>
        <v>644559.35999999999</v>
      </c>
      <c r="R19" s="1">
        <f>VLOOKUP(A19,CTE!$A$5:$R$54,18,FALSE)</f>
        <v>1005574.1848022267</v>
      </c>
      <c r="S19" s="1">
        <f t="shared" si="4"/>
        <v>1110520.1034588832</v>
      </c>
      <c r="T19" s="1">
        <f t="shared" si="0"/>
        <v>59607.193543999994</v>
      </c>
      <c r="U19" s="1">
        <f t="shared" si="1"/>
        <v>0</v>
      </c>
      <c r="V19" s="1">
        <f t="shared" si="2"/>
        <v>193706.79818899996</v>
      </c>
      <c r="W19" s="1">
        <f t="shared" si="5"/>
        <v>227030.48082464456</v>
      </c>
      <c r="X19" s="1">
        <f t="shared" si="6"/>
        <v>4319980.2860165285</v>
      </c>
      <c r="Y19" s="1">
        <f t="shared" si="7"/>
        <v>2729115.71</v>
      </c>
      <c r="Z19" s="1">
        <f t="shared" si="8"/>
        <v>0</v>
      </c>
      <c r="AA19" s="1">
        <f>VLOOKUP(A19,'Detailed SFPR_Calc'!$A$5:$Q$54,17,FALSE)</f>
        <v>2655208.65</v>
      </c>
      <c r="AB19" s="1">
        <f>VLOOKUP(A19,'Detailed SFPR_Calc'!$A$5:$R$54,18,FALSE)</f>
        <v>192596.15</v>
      </c>
      <c r="AC19" s="1">
        <f t="shared" si="9"/>
        <v>2847804.8</v>
      </c>
      <c r="AD19" s="1">
        <f t="shared" si="10"/>
        <v>0</v>
      </c>
      <c r="AE19" s="1">
        <f t="shared" si="11"/>
        <v>4319980.2860165285</v>
      </c>
      <c r="AF19" s="9">
        <v>0</v>
      </c>
      <c r="AG19" s="9">
        <v>44507.74</v>
      </c>
      <c r="AH19" s="9">
        <v>37874.43</v>
      </c>
      <c r="AI19" s="9">
        <v>-45150.61</v>
      </c>
      <c r="AJ19" s="9">
        <f t="shared" si="12"/>
        <v>37231.56</v>
      </c>
      <c r="AK19" s="9">
        <f t="shared" si="13"/>
        <v>4357211.8460165281</v>
      </c>
      <c r="AL19" s="9">
        <f t="shared" si="14"/>
        <v>0</v>
      </c>
      <c r="AM19" s="118">
        <f>VLOOKUP(A19,'Base Cost_Calc'!$A$7:$AY$56,51,FALSE)</f>
        <v>3.2861505098618349E-2</v>
      </c>
      <c r="AN19" s="9">
        <f t="shared" si="15"/>
        <v>89148.176813841492</v>
      </c>
      <c r="AO19" s="37">
        <f t="shared" si="16"/>
        <v>0</v>
      </c>
      <c r="AP19" s="9">
        <f t="shared" si="17"/>
        <v>2712845.2134588836</v>
      </c>
      <c r="AQ19" s="9">
        <f t="shared" si="18"/>
        <v>547720.48818899994</v>
      </c>
      <c r="AR19" s="9">
        <f t="shared" si="19"/>
        <v>167338.61354399999</v>
      </c>
      <c r="AS19" s="9">
        <f t="shared" si="20"/>
        <v>0</v>
      </c>
      <c r="AT19" s="9">
        <f t="shared" si="21"/>
        <v>892075.97082464455</v>
      </c>
      <c r="AU19" s="9">
        <v>2001872728.9486818</v>
      </c>
      <c r="AV19" s="9">
        <v>78084.97</v>
      </c>
    </row>
    <row r="20" spans="1:48" x14ac:dyDescent="0.25">
      <c r="A20" t="s">
        <v>131</v>
      </c>
      <c r="B20" t="s">
        <v>132</v>
      </c>
      <c r="C20" t="s">
        <v>216</v>
      </c>
      <c r="D20" s="1">
        <v>4895251.9800000004</v>
      </c>
      <c r="E20" s="1">
        <v>289532.09000000003</v>
      </c>
      <c r="F20" s="1">
        <v>93340.29</v>
      </c>
      <c r="G20" s="1">
        <v>1183232.81</v>
      </c>
      <c r="H20" s="1">
        <v>1276573.1000000001</v>
      </c>
      <c r="I20" s="1">
        <v>79569.03</v>
      </c>
      <c r="J20" s="1">
        <f t="shared" si="3"/>
        <v>5105215.04</v>
      </c>
      <c r="K20" s="1">
        <v>0</v>
      </c>
      <c r="L20" s="1">
        <v>618867</v>
      </c>
      <c r="M20" s="1">
        <v>3209774.94</v>
      </c>
      <c r="N20" s="1">
        <f>VLOOKUP(A20,'State Share Base Cost'!$A$3:$G$52,7,FALSE)</f>
        <v>5093749.6641289536</v>
      </c>
      <c r="O20" s="1">
        <f>VLOOKUP(A20,DPIA!$A$5:$H$54,8,FALSE)</f>
        <v>74128.679999999993</v>
      </c>
      <c r="P20" s="1">
        <f>VLOOKUP(A20,EL!$A$5:$L$54,12,FALSE)</f>
        <v>3064.0421600816544</v>
      </c>
      <c r="Q20" s="1">
        <f>VLOOKUP(A20,'Special Edu'!$A$5:$Q$54,17,FALSE)</f>
        <v>693512.15</v>
      </c>
      <c r="R20" s="1">
        <f>VLOOKUP(A20,CTE!$A$5:$R$54,18,FALSE)</f>
        <v>1808092.2811445976</v>
      </c>
      <c r="S20" s="1">
        <f t="shared" si="4"/>
        <v>1256045.9485767733</v>
      </c>
      <c r="T20" s="1">
        <f t="shared" si="0"/>
        <v>-3627.0813450000037</v>
      </c>
      <c r="U20" s="1">
        <f t="shared" si="1"/>
        <v>2042.7969081264389</v>
      </c>
      <c r="V20" s="1">
        <f t="shared" si="2"/>
        <v>49765.921505000013</v>
      </c>
      <c r="W20" s="1">
        <f t="shared" si="5"/>
        <v>354363.83806910313</v>
      </c>
      <c r="X20" s="1">
        <f t="shared" si="6"/>
        <v>6843375.4937140029</v>
      </c>
      <c r="Y20" s="1">
        <f t="shared" si="7"/>
        <v>5184784.07</v>
      </c>
      <c r="Z20" s="1">
        <f t="shared" si="8"/>
        <v>0</v>
      </c>
      <c r="AA20" s="1">
        <f>VLOOKUP(A20,'Detailed SFPR_Calc'!$A$5:$Q$54,17,FALSE)</f>
        <v>5075311.6100000003</v>
      </c>
      <c r="AB20" s="1">
        <f>VLOOKUP(A20,'Detailed SFPR_Calc'!$A$5:$R$54,18,FALSE)</f>
        <v>201491.9</v>
      </c>
      <c r="AC20" s="1">
        <f t="shared" si="9"/>
        <v>5276803.5100000007</v>
      </c>
      <c r="AD20" s="1">
        <f t="shared" si="10"/>
        <v>0</v>
      </c>
      <c r="AE20" s="1">
        <f t="shared" si="11"/>
        <v>6843375.4937140029</v>
      </c>
      <c r="AF20" s="9">
        <v>0</v>
      </c>
      <c r="AG20" s="9">
        <v>18813.07</v>
      </c>
      <c r="AH20" s="9">
        <v>43592.58</v>
      </c>
      <c r="AI20" s="9">
        <v>-58967.06</v>
      </c>
      <c r="AJ20" s="9">
        <f t="shared" si="12"/>
        <v>3438.5900000000038</v>
      </c>
      <c r="AK20" s="9">
        <f t="shared" si="13"/>
        <v>6846814.0837140027</v>
      </c>
      <c r="AL20" s="9">
        <f t="shared" si="14"/>
        <v>0</v>
      </c>
      <c r="AM20" s="118">
        <f>VLOOKUP(A20,'Base Cost_Calc'!$A$7:$AY$56,51,FALSE)</f>
        <v>3.7388780488260581E-2</v>
      </c>
      <c r="AN20" s="9">
        <f t="shared" si="15"/>
        <v>166971.59690288579</v>
      </c>
      <c r="AO20" s="37">
        <f t="shared" si="16"/>
        <v>0</v>
      </c>
      <c r="AP20" s="9">
        <f t="shared" si="17"/>
        <v>4465820.888576773</v>
      </c>
      <c r="AQ20" s="9">
        <f t="shared" si="18"/>
        <v>668632.92150499998</v>
      </c>
      <c r="AR20" s="9">
        <f t="shared" si="19"/>
        <v>75941.948655</v>
      </c>
      <c r="AS20" s="9">
        <f t="shared" si="20"/>
        <v>2042.7969081264389</v>
      </c>
      <c r="AT20" s="9">
        <f t="shared" si="21"/>
        <v>1630936.9380691033</v>
      </c>
      <c r="AU20" s="9">
        <v>2082975270.8124428</v>
      </c>
      <c r="AV20" s="9">
        <v>150633.79999999999</v>
      </c>
    </row>
    <row r="21" spans="1:48" x14ac:dyDescent="0.25">
      <c r="A21" t="s">
        <v>133</v>
      </c>
      <c r="B21" t="s">
        <v>134</v>
      </c>
      <c r="C21" t="s">
        <v>217</v>
      </c>
      <c r="D21" s="1">
        <v>1776051.87</v>
      </c>
      <c r="E21" s="1">
        <v>95817.72</v>
      </c>
      <c r="F21" s="1">
        <v>40433.72</v>
      </c>
      <c r="G21" s="1">
        <v>83125.070000000007</v>
      </c>
      <c r="H21" s="1">
        <v>123558.79</v>
      </c>
      <c r="I21" s="1">
        <v>10882.32</v>
      </c>
      <c r="J21" s="1">
        <f t="shared" si="3"/>
        <v>1860987.27</v>
      </c>
      <c r="K21" s="1">
        <v>0</v>
      </c>
      <c r="L21" s="1">
        <v>20738.97</v>
      </c>
      <c r="M21" s="1">
        <v>1716689.51</v>
      </c>
      <c r="N21" s="1">
        <f>VLOOKUP(A21,'State Share Base Cost'!$A$3:$G$52,7,FALSE)</f>
        <v>2156841.1761770407</v>
      </c>
      <c r="O21" s="1">
        <f>VLOOKUP(A21,DPIA!$A$5:$H$54,8,FALSE)</f>
        <v>7887.22</v>
      </c>
      <c r="P21" s="1">
        <f>VLOOKUP(A21,EL!$A$5:$L$54,12,FALSE)</f>
        <v>189.42847510901888</v>
      </c>
      <c r="Q21" s="1">
        <f>VLOOKUP(A21,'Special Edu'!$A$5:$Q$54,17,FALSE)</f>
        <v>224066.36199500519</v>
      </c>
      <c r="R21" s="1">
        <f>VLOOKUP(A21,CTE!$A$5:$R$54,18,FALSE)</f>
        <v>1152474.8150058172</v>
      </c>
      <c r="S21" s="1">
        <f t="shared" si="4"/>
        <v>293449.11584023299</v>
      </c>
      <c r="T21" s="1">
        <f t="shared" si="0"/>
        <v>-1996.8331699999994</v>
      </c>
      <c r="U21" s="1">
        <f t="shared" si="1"/>
        <v>126.29196435518288</v>
      </c>
      <c r="V21" s="1">
        <f t="shared" si="2"/>
        <v>135558.37224306996</v>
      </c>
      <c r="W21" s="1">
        <f t="shared" si="5"/>
        <v>685978.31387137831</v>
      </c>
      <c r="X21" s="1">
        <f t="shared" si="6"/>
        <v>2984984.8507490363</v>
      </c>
      <c r="Y21" s="1">
        <f t="shared" si="7"/>
        <v>1871869.59</v>
      </c>
      <c r="Z21" s="1">
        <f t="shared" si="8"/>
        <v>0</v>
      </c>
      <c r="AA21" s="1">
        <f>VLOOKUP(A21,'Detailed SFPR_Calc'!$A$5:$Q$54,17,FALSE)</f>
        <v>1844710.55</v>
      </c>
      <c r="AB21" s="1">
        <f>VLOOKUP(A21,'Detailed SFPR_Calc'!$A$5:$R$54,18,FALSE)</f>
        <v>102331.36</v>
      </c>
      <c r="AC21" s="1">
        <f t="shared" si="9"/>
        <v>1947041.9100000001</v>
      </c>
      <c r="AD21" s="1">
        <f t="shared" si="10"/>
        <v>0</v>
      </c>
      <c r="AE21" s="1">
        <f t="shared" si="11"/>
        <v>2984984.8507490363</v>
      </c>
      <c r="AF21" s="9">
        <v>0</v>
      </c>
      <c r="AG21" s="9">
        <v>17509.509999999998</v>
      </c>
      <c r="AH21" s="9">
        <v>97431.41</v>
      </c>
      <c r="AI21" s="9">
        <v>55196.5</v>
      </c>
      <c r="AJ21" s="9">
        <f t="shared" si="12"/>
        <v>170137.41999999998</v>
      </c>
      <c r="AK21" s="9">
        <f t="shared" si="13"/>
        <v>3155122.2707490362</v>
      </c>
      <c r="AL21" s="9">
        <f t="shared" si="14"/>
        <v>0</v>
      </c>
      <c r="AM21" s="118">
        <f>VLOOKUP(A21,'Base Cost_Calc'!$A$7:$AY$56,51,FALSE)</f>
        <v>3.3915943366657764E-2</v>
      </c>
      <c r="AN21" s="9">
        <f t="shared" si="15"/>
        <v>68175.747793128598</v>
      </c>
      <c r="AO21" s="37">
        <f t="shared" si="16"/>
        <v>0</v>
      </c>
      <c r="AP21" s="9">
        <f t="shared" si="17"/>
        <v>2010138.6258402329</v>
      </c>
      <c r="AQ21" s="9">
        <f t="shared" si="18"/>
        <v>156297.34224306996</v>
      </c>
      <c r="AR21" s="9">
        <f t="shared" si="19"/>
        <v>8885.4868299999998</v>
      </c>
      <c r="AS21" s="9">
        <f t="shared" si="20"/>
        <v>126.29196435518288</v>
      </c>
      <c r="AT21" s="9">
        <f t="shared" si="21"/>
        <v>809537.10387137835</v>
      </c>
      <c r="AU21" s="9">
        <v>5555941984.8393173</v>
      </c>
      <c r="AV21" s="9">
        <v>61017.56</v>
      </c>
    </row>
    <row r="22" spans="1:48" x14ac:dyDescent="0.25">
      <c r="A22" t="s">
        <v>135</v>
      </c>
      <c r="B22" t="s">
        <v>136</v>
      </c>
      <c r="C22" t="s">
        <v>218</v>
      </c>
      <c r="D22" s="1">
        <v>5757093.1299999999</v>
      </c>
      <c r="E22" s="1">
        <v>52886.83</v>
      </c>
      <c r="F22" s="1">
        <v>18633.03</v>
      </c>
      <c r="G22" s="1">
        <v>1577974.75</v>
      </c>
      <c r="H22" s="1">
        <v>1596607.78</v>
      </c>
      <c r="I22" s="1">
        <v>851748.02</v>
      </c>
      <c r="J22" s="1">
        <f t="shared" si="3"/>
        <v>4958231.9399999995</v>
      </c>
      <c r="K22" s="1">
        <v>0</v>
      </c>
      <c r="L22" s="1">
        <v>717727.36</v>
      </c>
      <c r="M22" s="1">
        <v>2643896.7999999998</v>
      </c>
      <c r="N22" s="1">
        <f>VLOOKUP(A22,'State Share Base Cost'!$A$3:$G$52,7,FALSE)</f>
        <v>6729191.8234039992</v>
      </c>
      <c r="O22" s="1">
        <f>VLOOKUP(A22,DPIA!$A$5:$H$54,8,FALSE)</f>
        <v>450532.91</v>
      </c>
      <c r="P22" s="1">
        <f>VLOOKUP(A22,EL!$A$5:$L$54,12,FALSE)</f>
        <v>0</v>
      </c>
      <c r="Q22" s="1">
        <f>VLOOKUP(A22,'Special Edu'!$A$5:$Q$54,17,FALSE)</f>
        <v>1116166.5523157604</v>
      </c>
      <c r="R22" s="1">
        <f>VLOOKUP(A22,CTE!$A$5:$R$54,18,FALSE)</f>
        <v>2905216.201240561</v>
      </c>
      <c r="S22" s="1">
        <f t="shared" si="4"/>
        <v>2723666.1921034465</v>
      </c>
      <c r="T22" s="1">
        <f t="shared" si="0"/>
        <v>-267490.11383700004</v>
      </c>
      <c r="U22" s="1">
        <f t="shared" si="1"/>
        <v>0</v>
      </c>
      <c r="V22" s="1">
        <f t="shared" si="2"/>
        <v>265639.40951691748</v>
      </c>
      <c r="W22" s="1">
        <f t="shared" si="5"/>
        <v>872449.23444108188</v>
      </c>
      <c r="X22" s="1">
        <f t="shared" si="6"/>
        <v>9404244.682224445</v>
      </c>
      <c r="Y22" s="1">
        <f t="shared" si="7"/>
        <v>5809979.959999999</v>
      </c>
      <c r="Z22" s="1">
        <f t="shared" si="8"/>
        <v>0</v>
      </c>
      <c r="AA22" s="1">
        <f>VLOOKUP(A22,'Detailed SFPR_Calc'!$A$5:$Q$54,17,FALSE)</f>
        <v>6015007.79</v>
      </c>
      <c r="AB22" s="1">
        <f>VLOOKUP(A22,'Detailed SFPR_Calc'!$A$5:$R$54,18,FALSE)</f>
        <v>63462.8</v>
      </c>
      <c r="AC22" s="1">
        <f t="shared" si="9"/>
        <v>6078470.5899999999</v>
      </c>
      <c r="AD22" s="1">
        <f t="shared" si="10"/>
        <v>0</v>
      </c>
      <c r="AE22" s="1">
        <f t="shared" si="11"/>
        <v>9404244.682224445</v>
      </c>
      <c r="AF22" s="9">
        <v>0</v>
      </c>
      <c r="AG22" s="9">
        <v>8025.71</v>
      </c>
      <c r="AH22" s="9">
        <v>40750.75</v>
      </c>
      <c r="AI22" s="9">
        <v>-82186.320000000007</v>
      </c>
      <c r="AJ22" s="9">
        <f t="shared" si="12"/>
        <v>-33409.860000000008</v>
      </c>
      <c r="AK22" s="9">
        <f t="shared" si="13"/>
        <v>9370834.8222244456</v>
      </c>
      <c r="AL22" s="9">
        <f t="shared" si="14"/>
        <v>0</v>
      </c>
      <c r="AM22" s="118">
        <f>VLOOKUP(A22,'Base Cost_Calc'!$A$7:$AY$56,51,FALSE)</f>
        <v>3.7781164211596191E-2</v>
      </c>
      <c r="AN22" s="9">
        <f t="shared" si="15"/>
        <v>202792.7788207469</v>
      </c>
      <c r="AO22" s="37">
        <f t="shared" si="16"/>
        <v>0</v>
      </c>
      <c r="AP22" s="9">
        <f t="shared" si="17"/>
        <v>5367562.9921034463</v>
      </c>
      <c r="AQ22" s="9">
        <f t="shared" si="18"/>
        <v>983366.76951691741</v>
      </c>
      <c r="AR22" s="9">
        <f t="shared" si="19"/>
        <v>584257.90616300004</v>
      </c>
      <c r="AS22" s="9">
        <f t="shared" si="20"/>
        <v>0</v>
      </c>
      <c r="AT22" s="9">
        <f t="shared" si="21"/>
        <v>2469057.0144410818</v>
      </c>
      <c r="AU22" s="9">
        <v>1679699706.9877713</v>
      </c>
      <c r="AV22" s="9">
        <v>182329.7</v>
      </c>
    </row>
    <row r="23" spans="1:48" x14ac:dyDescent="0.25">
      <c r="A23" t="s">
        <v>137</v>
      </c>
      <c r="B23" t="s">
        <v>138</v>
      </c>
      <c r="C23" t="s">
        <v>219</v>
      </c>
      <c r="D23" s="1">
        <v>4954042.3899999997</v>
      </c>
      <c r="E23" s="1">
        <v>184741.31</v>
      </c>
      <c r="F23" s="1">
        <v>49833.11</v>
      </c>
      <c r="G23" s="1">
        <v>1278467.98</v>
      </c>
      <c r="H23" s="1">
        <v>1328301.0900000001</v>
      </c>
      <c r="I23" s="1">
        <v>26442.99</v>
      </c>
      <c r="J23" s="1">
        <f t="shared" si="3"/>
        <v>5112340.709999999</v>
      </c>
      <c r="K23" s="1">
        <v>0</v>
      </c>
      <c r="L23" s="1">
        <v>395106.71</v>
      </c>
      <c r="M23" s="1">
        <v>3388932.91</v>
      </c>
      <c r="N23" s="1">
        <f>VLOOKUP(A23,'State Share Base Cost'!$A$3:$G$52,7,FALSE)</f>
        <v>6819777.7882443666</v>
      </c>
      <c r="O23" s="1">
        <f>VLOOKUP(A23,DPIA!$A$5:$H$54,8,FALSE)</f>
        <v>118686.08</v>
      </c>
      <c r="P23" s="1">
        <f>VLOOKUP(A23,EL!$A$5:$L$54,12,FALSE)</f>
        <v>13021.330698037376</v>
      </c>
      <c r="Q23" s="1">
        <f>VLOOKUP(A23,'Special Edu'!$A$5:$Q$54,17,FALSE)</f>
        <v>1089092.22</v>
      </c>
      <c r="R23" s="1">
        <f>VLOOKUP(A23,CTE!$A$5:$R$54,18,FALSE)</f>
        <v>2496784.069071373</v>
      </c>
      <c r="S23" s="1">
        <f t="shared" si="4"/>
        <v>2287344.2803255189</v>
      </c>
      <c r="T23" s="1">
        <f t="shared" si="0"/>
        <v>61498.468102999992</v>
      </c>
      <c r="U23" s="1">
        <f t="shared" si="1"/>
        <v>8681.3211763815179</v>
      </c>
      <c r="V23" s="1">
        <f t="shared" si="2"/>
        <v>462680.139517</v>
      </c>
      <c r="W23" s="1">
        <f t="shared" si="5"/>
        <v>779027.60214688431</v>
      </c>
      <c r="X23" s="1">
        <f t="shared" si="6"/>
        <v>8738015.5112687852</v>
      </c>
      <c r="Y23" s="1">
        <f t="shared" si="7"/>
        <v>5138783.6999999993</v>
      </c>
      <c r="Z23" s="1">
        <f t="shared" si="8"/>
        <v>0</v>
      </c>
      <c r="AA23" s="1">
        <f>VLOOKUP(A23,'Detailed SFPR_Calc'!$A$5:$Q$54,17,FALSE)</f>
        <v>5160600.53</v>
      </c>
      <c r="AB23" s="1">
        <f>VLOOKUP(A23,'Detailed SFPR_Calc'!$A$5:$R$54,18,FALSE)</f>
        <v>196135.44</v>
      </c>
      <c r="AC23" s="1">
        <f t="shared" si="9"/>
        <v>5356735.9700000007</v>
      </c>
      <c r="AD23" s="1">
        <f t="shared" si="10"/>
        <v>0</v>
      </c>
      <c r="AE23" s="1">
        <f t="shared" si="11"/>
        <v>8738015.5112687852</v>
      </c>
      <c r="AF23" s="9">
        <v>0</v>
      </c>
      <c r="AG23" s="9">
        <v>29045.3</v>
      </c>
      <c r="AH23" s="9">
        <v>136759.73000000001</v>
      </c>
      <c r="AI23" s="9">
        <v>-48620.79</v>
      </c>
      <c r="AJ23" s="9">
        <f t="shared" si="12"/>
        <v>117184.23999999999</v>
      </c>
      <c r="AK23" s="9">
        <f t="shared" si="13"/>
        <v>8855199.7512687854</v>
      </c>
      <c r="AL23" s="9">
        <f t="shared" si="14"/>
        <v>0</v>
      </c>
      <c r="AM23" s="118">
        <f>VLOOKUP(A23,'Base Cost_Calc'!$A$7:$AY$56,51,FALSE)</f>
        <v>4.0968663687216904E-2</v>
      </c>
      <c r="AN23" s="9">
        <f t="shared" si="15"/>
        <v>232549.49120586668</v>
      </c>
      <c r="AO23" s="37">
        <f t="shared" si="16"/>
        <v>0</v>
      </c>
      <c r="AP23" s="9">
        <f t="shared" si="17"/>
        <v>5676277.1903255191</v>
      </c>
      <c r="AQ23" s="9">
        <f t="shared" si="18"/>
        <v>857786.84951700002</v>
      </c>
      <c r="AR23" s="9">
        <f t="shared" si="19"/>
        <v>87941.458102999997</v>
      </c>
      <c r="AS23" s="9">
        <f t="shared" si="20"/>
        <v>8681.3211763815179</v>
      </c>
      <c r="AT23" s="9">
        <f t="shared" si="21"/>
        <v>2107328.6921468843</v>
      </c>
      <c r="AU23" s="9">
        <v>6474027200.3046236</v>
      </c>
      <c r="AV23" s="9">
        <v>193728.83</v>
      </c>
    </row>
    <row r="24" spans="1:48" x14ac:dyDescent="0.25">
      <c r="A24" t="s">
        <v>139</v>
      </c>
      <c r="B24" t="s">
        <v>140</v>
      </c>
      <c r="C24" t="s">
        <v>220</v>
      </c>
      <c r="D24" s="1">
        <v>6384634.3899999997</v>
      </c>
      <c r="E24" s="1">
        <v>472966.12</v>
      </c>
      <c r="F24" s="1">
        <v>143310.92000000001</v>
      </c>
      <c r="G24" s="1">
        <v>1253370.43</v>
      </c>
      <c r="H24" s="1">
        <v>1396681.35</v>
      </c>
      <c r="I24" s="1">
        <v>68422.75</v>
      </c>
      <c r="J24" s="1">
        <f t="shared" si="3"/>
        <v>6789177.7599999998</v>
      </c>
      <c r="K24" s="1">
        <v>1603.28</v>
      </c>
      <c r="L24" s="1">
        <v>824549.78</v>
      </c>
      <c r="M24" s="1">
        <v>4566343.3499999996</v>
      </c>
      <c r="N24" s="1">
        <f>VLOOKUP(A24,'State Share Base Cost'!$A$3:$G$52,7,FALSE)</f>
        <v>8768325.6396337114</v>
      </c>
      <c r="O24" s="1">
        <f>VLOOKUP(A24,DPIA!$A$5:$H$54,8,FALSE)</f>
        <v>262700.34999999998</v>
      </c>
      <c r="P24" s="1">
        <f>VLOOKUP(A24,EL!$A$5:$L$54,12,FALSE)</f>
        <v>2667.9499251814659</v>
      </c>
      <c r="Q24" s="1">
        <f>VLOOKUP(A24,'Special Edu'!$A$5:$Q$54,17,FALSE)</f>
        <v>1427558.8289954967</v>
      </c>
      <c r="R24" s="1">
        <f>VLOOKUP(A24,CTE!$A$5:$R$54,18,FALSE)</f>
        <v>2674844.8781924807</v>
      </c>
      <c r="S24" s="1">
        <f t="shared" si="4"/>
        <v>2801461.5924987956</v>
      </c>
      <c r="T24" s="1">
        <f t="shared" si="0"/>
        <v>129524.87591999998</v>
      </c>
      <c r="U24" s="1">
        <f t="shared" si="1"/>
        <v>709.81543911848325</v>
      </c>
      <c r="V24" s="1">
        <f t="shared" si="2"/>
        <v>402026.13296529761</v>
      </c>
      <c r="W24" s="1">
        <f t="shared" si="5"/>
        <v>852151.62424592674</v>
      </c>
      <c r="X24" s="1">
        <f t="shared" si="6"/>
        <v>11043474.551069139</v>
      </c>
      <c r="Y24" s="1">
        <f t="shared" si="7"/>
        <v>6857600.5099999998</v>
      </c>
      <c r="Z24" s="1">
        <f t="shared" si="8"/>
        <v>0</v>
      </c>
      <c r="AA24" s="1">
        <f>VLOOKUP(A24,'Detailed SFPR_Calc'!$A$5:$Q$54,17,FALSE)</f>
        <v>6587862.6200000001</v>
      </c>
      <c r="AB24" s="1">
        <f>VLOOKUP(A24,'Detailed SFPR_Calc'!$A$5:$R$54,18,FALSE)</f>
        <v>421173.48</v>
      </c>
      <c r="AC24" s="1">
        <f t="shared" si="9"/>
        <v>7009036.0999999996</v>
      </c>
      <c r="AD24" s="1">
        <f t="shared" si="10"/>
        <v>0</v>
      </c>
      <c r="AE24" s="1">
        <f t="shared" si="11"/>
        <v>11043474.551069139</v>
      </c>
      <c r="AF24" s="9">
        <v>0</v>
      </c>
      <c r="AG24" s="9">
        <v>58527.5</v>
      </c>
      <c r="AH24" s="9">
        <v>163441.91</v>
      </c>
      <c r="AI24" s="9">
        <v>-102354.49</v>
      </c>
      <c r="AJ24" s="9">
        <f t="shared" si="12"/>
        <v>119614.92</v>
      </c>
      <c r="AK24" s="9">
        <f t="shared" si="13"/>
        <v>11163089.471069138</v>
      </c>
      <c r="AL24" s="9">
        <f t="shared" si="14"/>
        <v>0</v>
      </c>
      <c r="AM24" s="118">
        <f>VLOOKUP(A24,'Base Cost_Calc'!$A$7:$AY$56,51,FALSE)</f>
        <v>4.0740457088681195E-2</v>
      </c>
      <c r="AN24" s="9">
        <f t="shared" si="15"/>
        <v>300167.74109764543</v>
      </c>
      <c r="AO24" s="37">
        <f t="shared" si="16"/>
        <v>0</v>
      </c>
      <c r="AP24" s="9">
        <f t="shared" si="17"/>
        <v>7367804.9424987957</v>
      </c>
      <c r="AQ24" s="9">
        <f t="shared" si="18"/>
        <v>1226575.9129652977</v>
      </c>
      <c r="AR24" s="9">
        <f t="shared" si="19"/>
        <v>197947.62591999996</v>
      </c>
      <c r="AS24" s="9">
        <f t="shared" si="20"/>
        <v>2313.0954391184832</v>
      </c>
      <c r="AT24" s="9">
        <f t="shared" si="21"/>
        <v>2248832.9742459268</v>
      </c>
      <c r="AU24" s="9">
        <v>8212832042.4348116</v>
      </c>
      <c r="AV24" s="9">
        <v>262001.55</v>
      </c>
    </row>
    <row r="25" spans="1:48" x14ac:dyDescent="0.25">
      <c r="A25" t="s">
        <v>141</v>
      </c>
      <c r="B25" t="s">
        <v>142</v>
      </c>
      <c r="C25" t="s">
        <v>221</v>
      </c>
      <c r="D25" s="1">
        <v>3803713.39</v>
      </c>
      <c r="E25" s="1">
        <v>663280.01</v>
      </c>
      <c r="F25" s="1">
        <v>234054.01</v>
      </c>
      <c r="G25" s="1">
        <v>1250133.29</v>
      </c>
      <c r="H25" s="1">
        <v>1484187.3</v>
      </c>
      <c r="I25" s="1">
        <v>142577.44</v>
      </c>
      <c r="J25" s="1">
        <f t="shared" si="3"/>
        <v>4324415.96</v>
      </c>
      <c r="K25" s="1">
        <v>1151.83</v>
      </c>
      <c r="L25" s="1">
        <v>625098.06000000006</v>
      </c>
      <c r="M25" s="1">
        <v>2213978.77</v>
      </c>
      <c r="N25" s="1">
        <f>VLOOKUP(A25,'State Share Base Cost'!$A$3:$G$52,7,FALSE)</f>
        <v>5351431.6912080152</v>
      </c>
      <c r="O25" s="1">
        <f>VLOOKUP(A25,DPIA!$A$5:$H$54,8,FALSE)</f>
        <v>347784.68</v>
      </c>
      <c r="P25" s="1">
        <f>VLOOKUP(A25,EL!$A$5:$L$54,12,FALSE)</f>
        <v>4546.7226819522584</v>
      </c>
      <c r="Q25" s="1">
        <f>VLOOKUP(A25,'Special Edu'!$A$5:$Q$54,17,FALSE)</f>
        <v>1003741.4276324888</v>
      </c>
      <c r="R25" s="1">
        <f>VLOOKUP(A25,CTE!$A$5:$R$54,18,FALSE)</f>
        <v>2083512.3131335378</v>
      </c>
      <c r="S25" s="1">
        <f t="shared" si="4"/>
        <v>2091739.8625693836</v>
      </c>
      <c r="T25" s="1">
        <f t="shared" si="0"/>
        <v>136811.66690799998</v>
      </c>
      <c r="U25" s="1">
        <f t="shared" si="1"/>
        <v>2263.3749510575708</v>
      </c>
      <c r="V25" s="1">
        <f t="shared" si="2"/>
        <v>252441.53320058022</v>
      </c>
      <c r="W25" s="1">
        <f t="shared" si="5"/>
        <v>399569.98625612957</v>
      </c>
      <c r="X25" s="1">
        <f t="shared" si="6"/>
        <v>7349819.8238851512</v>
      </c>
      <c r="Y25" s="1">
        <f t="shared" si="7"/>
        <v>4466993.4000000004</v>
      </c>
      <c r="Z25" s="1">
        <f t="shared" si="8"/>
        <v>0</v>
      </c>
      <c r="AA25" s="1">
        <f>VLOOKUP(A25,'Detailed SFPR_Calc'!$A$5:$Q$54,17,FALSE)</f>
        <v>4001286.22</v>
      </c>
      <c r="AB25" s="1">
        <f>VLOOKUP(A25,'Detailed SFPR_Calc'!$A$5:$R$54,18,FALSE)</f>
        <v>563036.93000000005</v>
      </c>
      <c r="AC25" s="1">
        <f t="shared" si="9"/>
        <v>4564323.1500000004</v>
      </c>
      <c r="AD25" s="1">
        <f t="shared" si="10"/>
        <v>0</v>
      </c>
      <c r="AE25" s="1">
        <f t="shared" si="11"/>
        <v>7349819.8238851512</v>
      </c>
      <c r="AF25" s="9">
        <v>0</v>
      </c>
      <c r="AG25" s="9">
        <v>35812.949999999997</v>
      </c>
      <c r="AH25" s="9">
        <v>104867.68</v>
      </c>
      <c r="AI25" s="9">
        <v>-72596.53</v>
      </c>
      <c r="AJ25" s="9">
        <f t="shared" si="12"/>
        <v>68084.100000000006</v>
      </c>
      <c r="AK25" s="9">
        <f t="shared" si="13"/>
        <v>7417903.9238851508</v>
      </c>
      <c r="AL25" s="9">
        <f t="shared" si="14"/>
        <v>0</v>
      </c>
      <c r="AM25" s="118">
        <f>VLOOKUP(A25,'Base Cost_Calc'!$A$7:$AY$56,51,FALSE)</f>
        <v>3.8736477837371434E-2</v>
      </c>
      <c r="AN25" s="9">
        <f t="shared" si="15"/>
        <v>166788.37438448117</v>
      </c>
      <c r="AO25" s="37">
        <f t="shared" si="16"/>
        <v>0</v>
      </c>
      <c r="AP25" s="9">
        <f t="shared" si="17"/>
        <v>4305718.6325693838</v>
      </c>
      <c r="AQ25" s="9">
        <f t="shared" si="18"/>
        <v>877539.59320058022</v>
      </c>
      <c r="AR25" s="9">
        <f t="shared" si="19"/>
        <v>279389.10690799996</v>
      </c>
      <c r="AS25" s="9">
        <f t="shared" si="20"/>
        <v>3415.2049510575707</v>
      </c>
      <c r="AT25" s="9">
        <f t="shared" si="21"/>
        <v>1883757.2862561296</v>
      </c>
      <c r="AU25" s="9">
        <v>4744010152.0011053</v>
      </c>
      <c r="AV25" s="9">
        <v>145364.47</v>
      </c>
    </row>
    <row r="26" spans="1:48" x14ac:dyDescent="0.25">
      <c r="A26" t="s">
        <v>143</v>
      </c>
      <c r="B26" t="s">
        <v>144</v>
      </c>
      <c r="C26" t="s">
        <v>222</v>
      </c>
      <c r="D26" s="1">
        <v>14505287.390000001</v>
      </c>
      <c r="E26" s="1">
        <v>818839.55</v>
      </c>
      <c r="F26" s="1">
        <v>267467.75</v>
      </c>
      <c r="G26" s="1">
        <v>4704472.91</v>
      </c>
      <c r="H26" s="1">
        <v>4971940.66</v>
      </c>
      <c r="I26" s="1">
        <v>73061.25</v>
      </c>
      <c r="J26" s="1">
        <f t="shared" si="3"/>
        <v>15251065.690000001</v>
      </c>
      <c r="K26" s="1">
        <v>0</v>
      </c>
      <c r="L26" s="1">
        <v>1281066.78</v>
      </c>
      <c r="M26" s="1">
        <v>8998058.25</v>
      </c>
      <c r="N26" s="1">
        <f>VLOOKUP(A26,'State Share Base Cost'!$A$3:$G$52,7,FALSE)</f>
        <v>16104593.517636521</v>
      </c>
      <c r="O26" s="1">
        <f>VLOOKUP(A26,DPIA!$A$5:$H$54,8,FALSE)</f>
        <v>205292.51</v>
      </c>
      <c r="P26" s="1">
        <f>VLOOKUP(A26,EL!$A$5:$L$54,12,FALSE)</f>
        <v>4777.9664633708289</v>
      </c>
      <c r="Q26" s="1">
        <f>VLOOKUP(A26,'Special Edu'!$A$5:$Q$54,17,FALSE)</f>
        <v>1991478.0358670927</v>
      </c>
      <c r="R26" s="1">
        <f>VLOOKUP(A26,CTE!$A$5:$R$54,18,FALSE)</f>
        <v>6479539.2695099013</v>
      </c>
      <c r="S26" s="1">
        <f t="shared" si="4"/>
        <v>4737927.062933268</v>
      </c>
      <c r="T26" s="1">
        <f t="shared" si="0"/>
        <v>88158.581042000005</v>
      </c>
      <c r="U26" s="1">
        <f t="shared" si="1"/>
        <v>3185.4702411293315</v>
      </c>
      <c r="V26" s="1">
        <f t="shared" si="2"/>
        <v>473631.18428659061</v>
      </c>
      <c r="W26" s="1">
        <f t="shared" si="5"/>
        <v>1005115.9929602511</v>
      </c>
      <c r="X26" s="1">
        <f t="shared" si="6"/>
        <v>21632145.231463239</v>
      </c>
      <c r="Y26" s="1">
        <f t="shared" si="7"/>
        <v>15324126.940000001</v>
      </c>
      <c r="Z26" s="1">
        <f t="shared" si="8"/>
        <v>0</v>
      </c>
      <c r="AA26" s="1">
        <f>VLOOKUP(A26,'Detailed SFPR_Calc'!$A$5:$Q$54,17,FALSE)</f>
        <v>14986259.23</v>
      </c>
      <c r="AB26" s="1">
        <f>VLOOKUP(A26,'Detailed SFPR_Calc'!$A$5:$R$54,18,FALSE)</f>
        <v>749115.88</v>
      </c>
      <c r="AC26" s="1">
        <f t="shared" si="9"/>
        <v>15735375.110000001</v>
      </c>
      <c r="AD26" s="1">
        <f t="shared" si="10"/>
        <v>0</v>
      </c>
      <c r="AE26" s="1">
        <f t="shared" si="11"/>
        <v>21632145.231463239</v>
      </c>
      <c r="AF26" s="9">
        <v>0</v>
      </c>
      <c r="AG26" s="9">
        <v>66549.539999999994</v>
      </c>
      <c r="AH26" s="9">
        <v>240419.17</v>
      </c>
      <c r="AI26" s="9">
        <v>-139718.54</v>
      </c>
      <c r="AJ26" s="9">
        <f t="shared" si="12"/>
        <v>167250.17000000001</v>
      </c>
      <c r="AK26" s="9">
        <f t="shared" si="13"/>
        <v>21799395.40146324</v>
      </c>
      <c r="AL26" s="9">
        <f t="shared" si="14"/>
        <v>0</v>
      </c>
      <c r="AM26" s="118">
        <f>VLOOKUP(A26,'Base Cost_Calc'!$A$7:$AY$56,51,FALSE)</f>
        <v>4.1431755162430854E-2</v>
      </c>
      <c r="AN26" s="9">
        <f t="shared" si="15"/>
        <v>569105.98040019732</v>
      </c>
      <c r="AO26" s="37">
        <f t="shared" si="16"/>
        <v>0</v>
      </c>
      <c r="AP26" s="9">
        <f t="shared" si="17"/>
        <v>13735985.312933268</v>
      </c>
      <c r="AQ26" s="9">
        <f t="shared" si="18"/>
        <v>1754697.9642865907</v>
      </c>
      <c r="AR26" s="9">
        <f t="shared" si="19"/>
        <v>161219.83104200001</v>
      </c>
      <c r="AS26" s="9">
        <f t="shared" si="20"/>
        <v>3185.4702411293315</v>
      </c>
      <c r="AT26" s="9">
        <f t="shared" si="21"/>
        <v>5977056.6529602511</v>
      </c>
      <c r="AU26" s="9">
        <v>8896534845.1107712</v>
      </c>
      <c r="AV26" s="9">
        <v>495552.33</v>
      </c>
    </row>
    <row r="27" spans="1:48" x14ac:dyDescent="0.25">
      <c r="A27" t="s">
        <v>145</v>
      </c>
      <c r="B27" t="s">
        <v>146</v>
      </c>
      <c r="C27" t="s">
        <v>223</v>
      </c>
      <c r="D27" s="1">
        <v>8252100.8300000001</v>
      </c>
      <c r="E27" s="1">
        <v>104101.2</v>
      </c>
      <c r="F27" s="1">
        <v>34690.6</v>
      </c>
      <c r="G27" s="1">
        <v>2431855.7400000002</v>
      </c>
      <c r="H27" s="1">
        <v>2466546.34</v>
      </c>
      <c r="I27" s="1">
        <v>176998.95</v>
      </c>
      <c r="J27" s="1">
        <f t="shared" si="3"/>
        <v>8179203.0800000001</v>
      </c>
      <c r="K27" s="1">
        <v>0</v>
      </c>
      <c r="L27" s="1">
        <v>1077064.43</v>
      </c>
      <c r="M27" s="1">
        <v>4635592.3099999996</v>
      </c>
      <c r="N27" s="1">
        <f>VLOOKUP(A27,'State Share Base Cost'!$A$3:$G$52,7,FALSE)</f>
        <v>8441952.7047676723</v>
      </c>
      <c r="O27" s="1">
        <f>VLOOKUP(A27,DPIA!$A$5:$H$54,8,FALSE)</f>
        <v>282423.12</v>
      </c>
      <c r="P27" s="1">
        <f>VLOOKUP(A27,EL!$A$5:$L$54,12,FALSE)</f>
        <v>0</v>
      </c>
      <c r="Q27" s="1">
        <f>VLOOKUP(A27,'Special Edu'!$A$5:$Q$54,17,FALSE)</f>
        <v>1075665.1794398979</v>
      </c>
      <c r="R27" s="1">
        <f>VLOOKUP(A27,CTE!$A$5:$R$54,18,FALSE)</f>
        <v>3182916.6916383929</v>
      </c>
      <c r="S27" s="1">
        <f t="shared" si="4"/>
        <v>2537700.4751916071</v>
      </c>
      <c r="T27" s="1">
        <f t="shared" si="0"/>
        <v>70286.294138999991</v>
      </c>
      <c r="U27" s="1">
        <f t="shared" si="1"/>
        <v>0</v>
      </c>
      <c r="V27" s="1">
        <f t="shared" si="2"/>
        <v>-932.88034842003867</v>
      </c>
      <c r="W27" s="1">
        <f t="shared" si="5"/>
        <v>477604.11343731661</v>
      </c>
      <c r="X27" s="1">
        <f t="shared" si="6"/>
        <v>11440860.032419503</v>
      </c>
      <c r="Y27" s="1">
        <f t="shared" si="7"/>
        <v>8356202.0300000003</v>
      </c>
      <c r="Z27" s="1">
        <f t="shared" si="8"/>
        <v>0</v>
      </c>
      <c r="AA27" s="1">
        <f>VLOOKUP(A27,'Detailed SFPR_Calc'!$A$5:$Q$54,17,FALSE)</f>
        <v>8644338.4600000009</v>
      </c>
      <c r="AB27" s="1">
        <f>VLOOKUP(A27,'Detailed SFPR_Calc'!$A$5:$R$54,18,FALSE)</f>
        <v>68730.070000000007</v>
      </c>
      <c r="AC27" s="1">
        <f t="shared" si="9"/>
        <v>8713068.5300000012</v>
      </c>
      <c r="AD27" s="1">
        <f t="shared" si="10"/>
        <v>0</v>
      </c>
      <c r="AE27" s="1">
        <f t="shared" si="11"/>
        <v>11440860.032419503</v>
      </c>
      <c r="AF27" s="9">
        <v>0</v>
      </c>
      <c r="AG27" s="9">
        <v>44641.26</v>
      </c>
      <c r="AH27" s="9">
        <v>112243.13</v>
      </c>
      <c r="AI27" s="9">
        <v>-58420.1</v>
      </c>
      <c r="AJ27" s="9">
        <f t="shared" si="12"/>
        <v>98464.290000000008</v>
      </c>
      <c r="AK27" s="9">
        <f t="shared" si="13"/>
        <v>11539324.322419502</v>
      </c>
      <c r="AL27" s="9">
        <f t="shared" si="14"/>
        <v>0</v>
      </c>
      <c r="AM27" s="118">
        <f>VLOOKUP(A27,'Base Cost_Calc'!$A$7:$AY$56,51,FALSE)</f>
        <v>4.0686671050476894E-2</v>
      </c>
      <c r="AN27" s="9">
        <f t="shared" si="15"/>
        <v>291857.40389985009</v>
      </c>
      <c r="AO27" s="37">
        <f t="shared" si="16"/>
        <v>0</v>
      </c>
      <c r="AP27" s="9">
        <f t="shared" si="17"/>
        <v>7173292.7851916067</v>
      </c>
      <c r="AQ27" s="9">
        <f t="shared" si="18"/>
        <v>1076131.5496515799</v>
      </c>
      <c r="AR27" s="9">
        <f t="shared" si="19"/>
        <v>247285.24413900002</v>
      </c>
      <c r="AS27" s="9">
        <f t="shared" si="20"/>
        <v>0</v>
      </c>
      <c r="AT27" s="9">
        <f t="shared" si="21"/>
        <v>2944150.4534373162</v>
      </c>
      <c r="AU27" s="9">
        <v>5073967953.9694901</v>
      </c>
      <c r="AV27" s="9">
        <v>256327.61</v>
      </c>
    </row>
    <row r="28" spans="1:48" x14ac:dyDescent="0.25">
      <c r="A28" t="s">
        <v>147</v>
      </c>
      <c r="B28" t="s">
        <v>148</v>
      </c>
      <c r="C28" t="s">
        <v>224</v>
      </c>
      <c r="D28" s="1">
        <v>6397664.7300000004</v>
      </c>
      <c r="E28" s="1">
        <v>210681.49</v>
      </c>
      <c r="F28" s="1">
        <v>73184.69</v>
      </c>
      <c r="G28" s="1">
        <v>2174737.81</v>
      </c>
      <c r="H28" s="1">
        <v>2247922.5</v>
      </c>
      <c r="I28" s="1">
        <v>14984.97</v>
      </c>
      <c r="J28" s="1">
        <f t="shared" si="3"/>
        <v>6593361.2500000009</v>
      </c>
      <c r="K28" s="1">
        <v>84.37</v>
      </c>
      <c r="L28" s="1">
        <v>726474.85</v>
      </c>
      <c r="M28" s="1">
        <v>3618879.53</v>
      </c>
      <c r="N28" s="1">
        <f>VLOOKUP(A28,'State Share Base Cost'!$A$3:$G$52,7,FALSE)</f>
        <v>8171684.0824930193</v>
      </c>
      <c r="O28" s="1">
        <f>VLOOKUP(A28,DPIA!$A$5:$H$54,8,FALSE)</f>
        <v>34846.550000000003</v>
      </c>
      <c r="P28" s="1">
        <f>VLOOKUP(A28,EL!$A$5:$L$54,12,FALSE)</f>
        <v>2080.3117308876645</v>
      </c>
      <c r="Q28" s="1">
        <f>VLOOKUP(A28,'Special Edu'!$A$5:$Q$54,17,FALSE)</f>
        <v>1082516.4619689027</v>
      </c>
      <c r="R28" s="1">
        <f>VLOOKUP(A28,CTE!$A$5:$R$54,18,FALSE)</f>
        <v>3050715.8260922576</v>
      </c>
      <c r="S28" s="1">
        <f t="shared" si="4"/>
        <v>3035354.7951470958</v>
      </c>
      <c r="T28" s="1">
        <f t="shared" si="0"/>
        <v>13241.715386</v>
      </c>
      <c r="U28" s="1">
        <f t="shared" si="1"/>
        <v>1330.694351982806</v>
      </c>
      <c r="V28" s="1">
        <f t="shared" si="2"/>
        <v>237372.94269966744</v>
      </c>
      <c r="W28" s="1">
        <f t="shared" si="5"/>
        <v>535222.3105057081</v>
      </c>
      <c r="X28" s="1">
        <f t="shared" si="6"/>
        <v>10430868.678090455</v>
      </c>
      <c r="Y28" s="1">
        <f t="shared" si="7"/>
        <v>6608346.2200000007</v>
      </c>
      <c r="Z28" s="1">
        <f t="shared" si="8"/>
        <v>0</v>
      </c>
      <c r="AA28" s="1">
        <f>VLOOKUP(A28,'Detailed SFPR_Calc'!$A$5:$Q$54,17,FALSE)</f>
        <v>6689530.5499999998</v>
      </c>
      <c r="AB28" s="1">
        <f>VLOOKUP(A28,'Detailed SFPR_Calc'!$A$5:$R$54,18,FALSE)</f>
        <v>223591.45</v>
      </c>
      <c r="AC28" s="1">
        <f t="shared" si="9"/>
        <v>6913122</v>
      </c>
      <c r="AD28" s="1">
        <f t="shared" si="10"/>
        <v>0</v>
      </c>
      <c r="AE28" s="1">
        <f t="shared" si="11"/>
        <v>10430868.678090455</v>
      </c>
      <c r="AF28" s="9">
        <v>0</v>
      </c>
      <c r="AG28" s="9">
        <v>36927.97</v>
      </c>
      <c r="AH28" s="9">
        <v>99779.46</v>
      </c>
      <c r="AI28" s="9">
        <v>-78052.81</v>
      </c>
      <c r="AJ28" s="9">
        <f t="shared" si="12"/>
        <v>58654.619999999995</v>
      </c>
      <c r="AK28" s="9">
        <f t="shared" si="13"/>
        <v>10489523.298090454</v>
      </c>
      <c r="AL28" s="9">
        <f t="shared" si="14"/>
        <v>0</v>
      </c>
      <c r="AM28" s="118">
        <f>VLOOKUP(A28,'Base Cost_Calc'!$A$7:$AY$56,51,FALSE)</f>
        <v>4.1569388339147778E-2</v>
      </c>
      <c r="AN28" s="9">
        <f t="shared" si="15"/>
        <v>276612.45076172659</v>
      </c>
      <c r="AO28" s="37">
        <f t="shared" si="16"/>
        <v>0</v>
      </c>
      <c r="AP28" s="9">
        <f t="shared" si="17"/>
        <v>6654234.3251470961</v>
      </c>
      <c r="AQ28" s="9">
        <f t="shared" si="18"/>
        <v>963847.79269966739</v>
      </c>
      <c r="AR28" s="9">
        <f t="shared" si="19"/>
        <v>28226.685385999997</v>
      </c>
      <c r="AS28" s="9">
        <f t="shared" si="20"/>
        <v>1415.0643519828059</v>
      </c>
      <c r="AT28" s="9">
        <f t="shared" si="21"/>
        <v>2783144.8105057082</v>
      </c>
      <c r="AU28" s="9">
        <v>4573333638.6440992</v>
      </c>
      <c r="AV28" s="9">
        <v>230266.63</v>
      </c>
    </row>
    <row r="29" spans="1:48" x14ac:dyDescent="0.25">
      <c r="A29" t="s">
        <v>149</v>
      </c>
      <c r="B29" t="s">
        <v>150</v>
      </c>
      <c r="C29" t="s">
        <v>225</v>
      </c>
      <c r="D29" s="1">
        <v>16157492.869999999</v>
      </c>
      <c r="E29" s="1">
        <v>537538.69999999995</v>
      </c>
      <c r="F29" s="1">
        <v>179348.7</v>
      </c>
      <c r="G29" s="1">
        <v>4417909.99</v>
      </c>
      <c r="H29" s="1">
        <v>4597258.6900000004</v>
      </c>
      <c r="I29" s="1">
        <v>160937.63</v>
      </c>
      <c r="J29" s="1">
        <f t="shared" si="3"/>
        <v>16534093.939999998</v>
      </c>
      <c r="K29" s="1">
        <v>547.27</v>
      </c>
      <c r="L29" s="1">
        <v>2322781.48</v>
      </c>
      <c r="M29" s="1">
        <v>9613506.5</v>
      </c>
      <c r="N29" s="1">
        <f>VLOOKUP(A29,'State Share Base Cost'!$A$3:$G$52,7,FALSE)</f>
        <v>16692006.438511342</v>
      </c>
      <c r="O29" s="1">
        <f>VLOOKUP(A29,DPIA!$A$5:$H$54,8,FALSE)</f>
        <v>309116.23</v>
      </c>
      <c r="P29" s="1">
        <f>VLOOKUP(A29,EL!$A$5:$L$54,12,FALSE)</f>
        <v>7432.9701022548243</v>
      </c>
      <c r="Q29" s="1">
        <f>VLOOKUP(A29,'Special Edu'!$A$5:$Q$54,17,FALSE)</f>
        <v>3455570.4482689993</v>
      </c>
      <c r="R29" s="1">
        <f>VLOOKUP(A29,CTE!$A$5:$R$54,18,FALSE)</f>
        <v>6578427.5788538679</v>
      </c>
      <c r="S29" s="1">
        <f t="shared" si="4"/>
        <v>4719235.9090055116</v>
      </c>
      <c r="T29" s="1">
        <f t="shared" si="0"/>
        <v>98790.672619999983</v>
      </c>
      <c r="U29" s="1">
        <f t="shared" si="1"/>
        <v>4590.6962581732914</v>
      </c>
      <c r="V29" s="1">
        <f t="shared" si="2"/>
        <v>755230.40514494188</v>
      </c>
      <c r="W29" s="1">
        <f t="shared" si="5"/>
        <v>1320845.2981988734</v>
      </c>
      <c r="X29" s="1">
        <f t="shared" si="6"/>
        <v>23593724.551227499</v>
      </c>
      <c r="Y29" s="1">
        <f t="shared" si="7"/>
        <v>16695031.569999998</v>
      </c>
      <c r="Z29" s="1">
        <f t="shared" si="8"/>
        <v>0</v>
      </c>
      <c r="AA29" s="1">
        <f>VLOOKUP(A29,'Detailed SFPR_Calc'!$A$5:$Q$54,17,FALSE)</f>
        <v>16481351.23</v>
      </c>
      <c r="AB29" s="1">
        <f>VLOOKUP(A29,'Detailed SFPR_Calc'!$A$5:$R$54,18,FALSE)</f>
        <v>733948.39</v>
      </c>
      <c r="AC29" s="1">
        <f t="shared" si="9"/>
        <v>17215299.620000001</v>
      </c>
      <c r="AD29" s="1">
        <f t="shared" si="10"/>
        <v>0</v>
      </c>
      <c r="AE29" s="1">
        <f t="shared" si="11"/>
        <v>23593724.551227499</v>
      </c>
      <c r="AF29" s="9">
        <v>0</v>
      </c>
      <c r="AG29" s="9">
        <v>109555.78</v>
      </c>
      <c r="AH29" s="9">
        <v>224348.83</v>
      </c>
      <c r="AI29" s="9">
        <v>-254942.36</v>
      </c>
      <c r="AJ29" s="9">
        <f t="shared" si="12"/>
        <v>78962.25</v>
      </c>
      <c r="AK29" s="9">
        <f t="shared" si="13"/>
        <v>23672686.801227499</v>
      </c>
      <c r="AL29" s="9">
        <f t="shared" si="14"/>
        <v>0</v>
      </c>
      <c r="AM29" s="118">
        <f>VLOOKUP(A29,'Base Cost_Calc'!$A$7:$AY$56,51,FALSE)</f>
        <v>4.0888693136116906E-2</v>
      </c>
      <c r="AN29" s="9">
        <f t="shared" si="15"/>
        <v>586047.10616083536</v>
      </c>
      <c r="AO29" s="37">
        <f t="shared" si="16"/>
        <v>0</v>
      </c>
      <c r="AP29" s="9">
        <f t="shared" si="17"/>
        <v>14332742.409005512</v>
      </c>
      <c r="AQ29" s="9">
        <f t="shared" si="18"/>
        <v>3078011.885144942</v>
      </c>
      <c r="AR29" s="9">
        <f t="shared" si="19"/>
        <v>259728.30261999997</v>
      </c>
      <c r="AS29" s="9">
        <f t="shared" si="20"/>
        <v>5137.9662581732919</v>
      </c>
      <c r="AT29" s="9">
        <f t="shared" si="21"/>
        <v>5918103.9881988736</v>
      </c>
      <c r="AU29" s="9">
        <v>8046080030.8759336</v>
      </c>
      <c r="AV29" s="9">
        <v>526581.67000000004</v>
      </c>
    </row>
    <row r="30" spans="1:48" x14ac:dyDescent="0.25">
      <c r="A30" t="s">
        <v>151</v>
      </c>
      <c r="B30" t="s">
        <v>152</v>
      </c>
      <c r="C30" t="s">
        <v>226</v>
      </c>
      <c r="D30" s="1">
        <v>4419950.9800000004</v>
      </c>
      <c r="E30" s="1">
        <v>164044.96</v>
      </c>
      <c r="F30" s="1">
        <v>50387.360000000001</v>
      </c>
      <c r="G30" s="1">
        <v>1123329.3799999999</v>
      </c>
      <c r="H30" s="1">
        <v>1173716.74</v>
      </c>
      <c r="I30" s="1">
        <v>233169.57</v>
      </c>
      <c r="J30" s="1">
        <f t="shared" si="3"/>
        <v>4350826.37</v>
      </c>
      <c r="K30" s="1">
        <v>0</v>
      </c>
      <c r="L30" s="1">
        <v>709579.36</v>
      </c>
      <c r="M30" s="1">
        <v>2467530.27</v>
      </c>
      <c r="N30" s="1">
        <f>VLOOKUP(A30,'State Share Base Cost'!$A$3:$G$52,7,FALSE)</f>
        <v>4550934.8635708205</v>
      </c>
      <c r="O30" s="1">
        <f>VLOOKUP(A30,DPIA!$A$5:$H$54,8,FALSE)</f>
        <v>1157999.24</v>
      </c>
      <c r="P30" s="1">
        <f>VLOOKUP(A30,EL!$A$5:$L$54,12,FALSE)</f>
        <v>0</v>
      </c>
      <c r="Q30" s="1">
        <f>VLOOKUP(A30,'Special Edu'!$A$5:$Q$54,17,FALSE)</f>
        <v>1072231.6247967905</v>
      </c>
      <c r="R30" s="1">
        <f>VLOOKUP(A30,CTE!$A$5:$R$54,18,FALSE)</f>
        <v>1421333.6702331381</v>
      </c>
      <c r="S30" s="1">
        <f t="shared" si="4"/>
        <v>1389005.8425336659</v>
      </c>
      <c r="T30" s="1">
        <f t="shared" si="0"/>
        <v>616583.94098899991</v>
      </c>
      <c r="U30" s="1">
        <f t="shared" si="1"/>
        <v>0</v>
      </c>
      <c r="V30" s="1">
        <f t="shared" si="2"/>
        <v>241780.26494002025</v>
      </c>
      <c r="W30" s="1">
        <f t="shared" si="5"/>
        <v>165086.20738643321</v>
      </c>
      <c r="X30" s="1">
        <f t="shared" si="6"/>
        <v>6996452.1958491197</v>
      </c>
      <c r="Y30" s="1">
        <f t="shared" si="7"/>
        <v>4583995.9400000004</v>
      </c>
      <c r="Z30" s="1">
        <f t="shared" si="8"/>
        <v>0</v>
      </c>
      <c r="AA30" s="1">
        <f>VLOOKUP(A30,'Detailed SFPR_Calc'!$A$5:$Q$54,17,FALSE)</f>
        <v>4624982.54</v>
      </c>
      <c r="AB30" s="1">
        <f>VLOOKUP(A30,'Detailed SFPR_Calc'!$A$5:$R$54,18,FALSE)</f>
        <v>144121.18</v>
      </c>
      <c r="AC30" s="1">
        <f t="shared" si="9"/>
        <v>4769103.72</v>
      </c>
      <c r="AD30" s="1">
        <f t="shared" si="10"/>
        <v>0</v>
      </c>
      <c r="AE30" s="1">
        <f t="shared" si="11"/>
        <v>6996452.1958491197</v>
      </c>
      <c r="AF30" s="9">
        <v>0</v>
      </c>
      <c r="AG30" s="9">
        <v>4051.89</v>
      </c>
      <c r="AH30" s="9">
        <v>21159.01</v>
      </c>
      <c r="AI30" s="9">
        <v>-80153.149999999994</v>
      </c>
      <c r="AJ30" s="9">
        <f t="shared" si="12"/>
        <v>-54942.25</v>
      </c>
      <c r="AK30" s="9">
        <f t="shared" si="13"/>
        <v>6941509.9458491197</v>
      </c>
      <c r="AL30" s="9">
        <f t="shared" si="14"/>
        <v>0</v>
      </c>
      <c r="AM30" s="118">
        <f>VLOOKUP(A30,'Base Cost_Calc'!$A$7:$AY$56,51,FALSE)</f>
        <v>3.5388268749864671E-2</v>
      </c>
      <c r="AN30" s="9">
        <f t="shared" si="15"/>
        <v>136476.13639389971</v>
      </c>
      <c r="AO30" s="37">
        <f t="shared" si="16"/>
        <v>0</v>
      </c>
      <c r="AP30" s="9">
        <f t="shared" si="17"/>
        <v>3856536.1125336662</v>
      </c>
      <c r="AQ30" s="9">
        <f t="shared" si="18"/>
        <v>951359.62494002027</v>
      </c>
      <c r="AR30" s="9">
        <f t="shared" si="19"/>
        <v>849753.51098899986</v>
      </c>
      <c r="AS30" s="9">
        <f t="shared" si="20"/>
        <v>0</v>
      </c>
      <c r="AT30" s="9">
        <f t="shared" si="21"/>
        <v>1338802.9473864331</v>
      </c>
      <c r="AU30" s="9">
        <v>648935896.31115782</v>
      </c>
      <c r="AV30" s="9">
        <v>120900.6</v>
      </c>
    </row>
    <row r="31" spans="1:48" x14ac:dyDescent="0.25">
      <c r="A31" t="s">
        <v>153</v>
      </c>
      <c r="B31" t="s">
        <v>154</v>
      </c>
      <c r="C31" t="s">
        <v>227</v>
      </c>
      <c r="D31" s="1">
        <v>4584502.2699999996</v>
      </c>
      <c r="E31" s="1">
        <v>219234.21</v>
      </c>
      <c r="F31" s="1">
        <v>67590.41</v>
      </c>
      <c r="G31" s="1">
        <v>1192524.3400000001</v>
      </c>
      <c r="H31" s="1">
        <v>1260114.75</v>
      </c>
      <c r="I31" s="1">
        <v>98817.53</v>
      </c>
      <c r="J31" s="1">
        <f t="shared" si="3"/>
        <v>4704918.9499999993</v>
      </c>
      <c r="K31" s="1">
        <v>0</v>
      </c>
      <c r="L31" s="1">
        <v>685723.48</v>
      </c>
      <c r="M31" s="1">
        <v>2759080.72</v>
      </c>
      <c r="N31" s="1">
        <f>VLOOKUP(A31,'State Share Base Cost'!$A$3:$G$52,7,FALSE)</f>
        <v>4924533.0115415603</v>
      </c>
      <c r="O31" s="1">
        <f>VLOOKUP(A31,DPIA!$A$5:$H$54,8,FALSE)</f>
        <v>123024.64</v>
      </c>
      <c r="P31" s="1">
        <f>VLOOKUP(A31,EL!$A$5:$L$54,12,FALSE)</f>
        <v>0</v>
      </c>
      <c r="Q31" s="1">
        <f>VLOOKUP(A31,'Special Edu'!$A$5:$Q$54,17,FALSE)</f>
        <v>1028307.1128627858</v>
      </c>
      <c r="R31" s="1">
        <f>VLOOKUP(A31,CTE!$A$5:$R$54,18,FALSE)</f>
        <v>1706008.6813684974</v>
      </c>
      <c r="S31" s="1">
        <f t="shared" si="4"/>
        <v>1443707.042770758</v>
      </c>
      <c r="T31" s="1">
        <f t="shared" si="0"/>
        <v>16138.880236999999</v>
      </c>
      <c r="U31" s="1">
        <f t="shared" si="1"/>
        <v>0</v>
      </c>
      <c r="V31" s="1">
        <f t="shared" si="2"/>
        <v>228400.50802961929</v>
      </c>
      <c r="W31" s="1">
        <f t="shared" si="5"/>
        <v>297277.48404337722</v>
      </c>
      <c r="X31" s="1">
        <f t="shared" si="6"/>
        <v>6789260.3950807555</v>
      </c>
      <c r="Y31" s="1">
        <f t="shared" si="7"/>
        <v>4803736.4799999995</v>
      </c>
      <c r="Z31" s="1">
        <f t="shared" si="8"/>
        <v>0</v>
      </c>
      <c r="AA31" s="1">
        <f>VLOOKUP(A31,'Detailed SFPR_Calc'!$A$5:$Q$54,17,FALSE)</f>
        <v>4724301.5599999996</v>
      </c>
      <c r="AB31" s="1">
        <f>VLOOKUP(A31,'Detailed SFPR_Calc'!$A$5:$R$54,18,FALSE)</f>
        <v>357618.25</v>
      </c>
      <c r="AC31" s="1">
        <f t="shared" si="9"/>
        <v>5081919.8099999996</v>
      </c>
      <c r="AD31" s="1">
        <f t="shared" si="10"/>
        <v>0</v>
      </c>
      <c r="AE31" s="1">
        <f t="shared" si="11"/>
        <v>6789260.3950807555</v>
      </c>
      <c r="AF31" s="9">
        <v>0</v>
      </c>
      <c r="AG31" s="9">
        <v>75117.97</v>
      </c>
      <c r="AH31" s="9">
        <v>67638.820000000007</v>
      </c>
      <c r="AI31" s="9">
        <v>-80369.929999999993</v>
      </c>
      <c r="AJ31" s="9">
        <f t="shared" si="12"/>
        <v>62386.860000000015</v>
      </c>
      <c r="AK31" s="9">
        <f t="shared" si="13"/>
        <v>6851647.2550807558</v>
      </c>
      <c r="AL31" s="9">
        <f t="shared" si="14"/>
        <v>0</v>
      </c>
      <c r="AM31" s="118">
        <f>VLOOKUP(A31,'Base Cost_Calc'!$A$7:$AY$56,51,FALSE)</f>
        <v>3.9041690079834282E-2</v>
      </c>
      <c r="AN31" s="9">
        <f t="shared" si="15"/>
        <v>164083.93730541601</v>
      </c>
      <c r="AO31" s="37">
        <f t="shared" si="16"/>
        <v>0</v>
      </c>
      <c r="AP31" s="9">
        <f t="shared" si="17"/>
        <v>4202787.762770758</v>
      </c>
      <c r="AQ31" s="9">
        <f t="shared" si="18"/>
        <v>914123.98802961921</v>
      </c>
      <c r="AR31" s="9">
        <f t="shared" si="19"/>
        <v>114956.410237</v>
      </c>
      <c r="AS31" s="9">
        <f t="shared" si="20"/>
        <v>0</v>
      </c>
      <c r="AT31" s="9">
        <f t="shared" si="21"/>
        <v>1557392.2340433772</v>
      </c>
      <c r="AU31" s="9">
        <v>3085253301.4641852</v>
      </c>
      <c r="AV31" s="9">
        <v>149360.31</v>
      </c>
    </row>
    <row r="32" spans="1:48" x14ac:dyDescent="0.25">
      <c r="A32" t="s">
        <v>155</v>
      </c>
      <c r="B32" t="s">
        <v>156</v>
      </c>
      <c r="C32" t="s">
        <v>228</v>
      </c>
      <c r="D32" s="1">
        <v>10747307.710000001</v>
      </c>
      <c r="E32" s="1">
        <v>890402.19</v>
      </c>
      <c r="F32" s="1">
        <v>300863.59000000003</v>
      </c>
      <c r="G32" s="1">
        <v>3337470.82</v>
      </c>
      <c r="H32" s="1">
        <v>3638334.41</v>
      </c>
      <c r="I32" s="1">
        <v>177660.52</v>
      </c>
      <c r="J32" s="1">
        <f t="shared" si="3"/>
        <v>11460049.380000001</v>
      </c>
      <c r="K32" s="1">
        <v>3507.84</v>
      </c>
      <c r="L32" s="1">
        <v>1229201.6100000001</v>
      </c>
      <c r="M32" s="1">
        <v>6589005.5199999996</v>
      </c>
      <c r="N32" s="1">
        <f>VLOOKUP(A32,'State Share Base Cost'!$A$3:$G$52,7,FALSE)</f>
        <v>11444753.192266613</v>
      </c>
      <c r="O32" s="1">
        <f>VLOOKUP(A32,DPIA!$A$5:$H$54,8,FALSE)</f>
        <v>353630.59</v>
      </c>
      <c r="P32" s="1">
        <f>VLOOKUP(A32,EL!$A$5:$L$54,12,FALSE)</f>
        <v>29304.790806964418</v>
      </c>
      <c r="Q32" s="1">
        <f>VLOOKUP(A32,'Special Edu'!$A$5:$Q$54,17,FALSE)</f>
        <v>2260902.525322685</v>
      </c>
      <c r="R32" s="1">
        <f>VLOOKUP(A32,CTE!$A$5:$R$54,18,FALSE)</f>
        <v>4280354.656751438</v>
      </c>
      <c r="S32" s="1">
        <f t="shared" si="4"/>
        <v>3237326.9731001509</v>
      </c>
      <c r="T32" s="1">
        <f t="shared" si="0"/>
        <v>117319.24566900001</v>
      </c>
      <c r="U32" s="1">
        <f t="shared" si="1"/>
        <v>17198.827103003176</v>
      </c>
      <c r="V32" s="1">
        <f t="shared" si="2"/>
        <v>687835.000245634</v>
      </c>
      <c r="W32" s="1">
        <f t="shared" si="5"/>
        <v>428034.89850918361</v>
      </c>
      <c r="X32" s="1">
        <f t="shared" si="6"/>
        <v>16125424.844626972</v>
      </c>
      <c r="Y32" s="1">
        <f t="shared" si="7"/>
        <v>11637709.9</v>
      </c>
      <c r="Z32" s="1">
        <f t="shared" si="8"/>
        <v>0</v>
      </c>
      <c r="AA32" s="1">
        <f>VLOOKUP(A32,'Detailed SFPR_Calc'!$A$5:$Q$54,17,FALSE)</f>
        <v>11164918.58</v>
      </c>
      <c r="AB32" s="1">
        <f>VLOOKUP(A32,'Detailed SFPR_Calc'!$A$5:$R$54,18,FALSE)</f>
        <v>736100.24</v>
      </c>
      <c r="AC32" s="1">
        <f t="shared" si="9"/>
        <v>11901018.82</v>
      </c>
      <c r="AD32" s="1">
        <f t="shared" si="10"/>
        <v>0</v>
      </c>
      <c r="AE32" s="1">
        <f t="shared" si="11"/>
        <v>16125424.844626972</v>
      </c>
      <c r="AF32" s="9">
        <v>0</v>
      </c>
      <c r="AG32" s="9">
        <v>31787.59</v>
      </c>
      <c r="AH32" s="9">
        <v>77923.39</v>
      </c>
      <c r="AI32" s="9">
        <v>-135882.32</v>
      </c>
      <c r="AJ32" s="9">
        <f t="shared" si="12"/>
        <v>-26171.340000000011</v>
      </c>
      <c r="AK32" s="9">
        <f t="shared" si="13"/>
        <v>16099253.504626973</v>
      </c>
      <c r="AL32" s="9">
        <f t="shared" si="14"/>
        <v>0</v>
      </c>
      <c r="AM32" s="118">
        <f>VLOOKUP(A32,'Base Cost_Calc'!$A$7:$AY$56,51,FALSE)</f>
        <v>4.1387593297241322E-2</v>
      </c>
      <c r="AN32" s="9">
        <f t="shared" si="15"/>
        <v>406688.25282789645</v>
      </c>
      <c r="AO32" s="37">
        <f t="shared" si="16"/>
        <v>0</v>
      </c>
      <c r="AP32" s="9">
        <f t="shared" si="17"/>
        <v>9826332.4931001514</v>
      </c>
      <c r="AQ32" s="9">
        <f t="shared" si="18"/>
        <v>1917036.6102456341</v>
      </c>
      <c r="AR32" s="9">
        <f t="shared" si="19"/>
        <v>294979.76566899999</v>
      </c>
      <c r="AS32" s="9">
        <f t="shared" si="20"/>
        <v>20706.667103003176</v>
      </c>
      <c r="AT32" s="9">
        <f t="shared" si="21"/>
        <v>4066369.3085091836</v>
      </c>
      <c r="AU32" s="9">
        <v>3264914683.2815952</v>
      </c>
      <c r="AV32" s="9">
        <v>356657.16</v>
      </c>
    </row>
    <row r="33" spans="1:48" x14ac:dyDescent="0.25">
      <c r="A33" t="s">
        <v>157</v>
      </c>
      <c r="B33" t="s">
        <v>158</v>
      </c>
      <c r="C33" t="s">
        <v>229</v>
      </c>
      <c r="D33" s="1">
        <v>10140777.08</v>
      </c>
      <c r="E33" s="1">
        <v>247141.47</v>
      </c>
      <c r="F33" s="1">
        <v>87491.07</v>
      </c>
      <c r="G33" s="1">
        <v>3046593.96</v>
      </c>
      <c r="H33" s="1">
        <v>3134085.03</v>
      </c>
      <c r="I33" s="1">
        <v>326695.25</v>
      </c>
      <c r="J33" s="1">
        <f t="shared" si="3"/>
        <v>10061223.300000001</v>
      </c>
      <c r="K33" s="1">
        <v>0</v>
      </c>
      <c r="L33" s="1">
        <v>1294520.5900000001</v>
      </c>
      <c r="M33" s="1">
        <v>5632617.6799999997</v>
      </c>
      <c r="N33" s="1">
        <f>VLOOKUP(A33,'State Share Base Cost'!$A$3:$G$52,7,FALSE)</f>
        <v>9031240.5828854647</v>
      </c>
      <c r="O33" s="1">
        <f>VLOOKUP(A33,DPIA!$A$5:$H$54,8,FALSE)</f>
        <v>12607.11</v>
      </c>
      <c r="P33" s="1">
        <f>VLOOKUP(A33,EL!$A$5:$L$54,12,FALSE)</f>
        <v>2301.7237866671248</v>
      </c>
      <c r="Q33" s="1">
        <f>VLOOKUP(A33,'Special Edu'!$A$5:$Q$54,17,FALSE)</f>
        <v>1392271.6092373137</v>
      </c>
      <c r="R33" s="1">
        <f>VLOOKUP(A33,CTE!$A$5:$R$54,18,FALSE)</f>
        <v>3627459.5348814945</v>
      </c>
      <c r="S33" s="1">
        <f t="shared" si="4"/>
        <v>2265861.8893537396</v>
      </c>
      <c r="T33" s="1">
        <f t="shared" si="0"/>
        <v>-209402.56293799999</v>
      </c>
      <c r="U33" s="1">
        <f t="shared" si="1"/>
        <v>1534.5592485709719</v>
      </c>
      <c r="V33" s="1">
        <f t="shared" si="2"/>
        <v>65170.60452551701</v>
      </c>
      <c r="W33" s="1">
        <f t="shared" si="5"/>
        <v>328932.78240449249</v>
      </c>
      <c r="X33" s="1">
        <f t="shared" si="6"/>
        <v>12840015.82259432</v>
      </c>
      <c r="Y33" s="1">
        <f t="shared" si="7"/>
        <v>10387918.550000001</v>
      </c>
      <c r="Z33" s="1">
        <f t="shared" si="8"/>
        <v>0</v>
      </c>
      <c r="AA33" s="1">
        <f>VLOOKUP(A33,'Detailed SFPR_Calc'!$A$5:$Q$54,17,FALSE)</f>
        <v>10521031.99</v>
      </c>
      <c r="AB33" s="1">
        <f>VLOOKUP(A33,'Detailed SFPR_Calc'!$A$5:$R$54,18,FALSE)</f>
        <v>216869.48</v>
      </c>
      <c r="AC33" s="1">
        <f t="shared" si="9"/>
        <v>10737901.470000001</v>
      </c>
      <c r="AD33" s="1">
        <f t="shared" si="10"/>
        <v>0</v>
      </c>
      <c r="AE33" s="1">
        <f t="shared" si="11"/>
        <v>12840015.82259432</v>
      </c>
      <c r="AF33" s="9">
        <v>0</v>
      </c>
      <c r="AG33" s="9">
        <v>15291.54</v>
      </c>
      <c r="AH33" s="9">
        <v>72048.73</v>
      </c>
      <c r="AI33" s="9">
        <v>-124183.45</v>
      </c>
      <c r="AJ33" s="9">
        <f t="shared" si="12"/>
        <v>-36843.180000000008</v>
      </c>
      <c r="AK33" s="9">
        <f t="shared" si="13"/>
        <v>12803172.642594321</v>
      </c>
      <c r="AL33" s="9">
        <f t="shared" si="14"/>
        <v>0</v>
      </c>
      <c r="AM33" s="118">
        <f>VLOOKUP(A33,'Base Cost_Calc'!$A$7:$AY$56,51,FALSE)</f>
        <v>4.0982563906005257E-2</v>
      </c>
      <c r="AN33" s="9">
        <f t="shared" si="15"/>
        <v>323699.9437113165</v>
      </c>
      <c r="AO33" s="37">
        <f t="shared" si="16"/>
        <v>0</v>
      </c>
      <c r="AP33" s="9">
        <f t="shared" si="17"/>
        <v>7898479.5693537388</v>
      </c>
      <c r="AQ33" s="9">
        <f t="shared" si="18"/>
        <v>1359691.1945255171</v>
      </c>
      <c r="AR33" s="9">
        <f t="shared" si="19"/>
        <v>117292.68706200001</v>
      </c>
      <c r="AS33" s="9">
        <f t="shared" si="20"/>
        <v>1534.5592485709719</v>
      </c>
      <c r="AT33" s="9">
        <f t="shared" si="21"/>
        <v>3463017.8124044924</v>
      </c>
      <c r="AU33" s="9">
        <v>3046168526.3008776</v>
      </c>
      <c r="AV33" s="9">
        <v>301034.39</v>
      </c>
    </row>
    <row r="34" spans="1:48" x14ac:dyDescent="0.25">
      <c r="A34" t="s">
        <v>159</v>
      </c>
      <c r="B34" t="s">
        <v>160</v>
      </c>
      <c r="C34" t="s">
        <v>230</v>
      </c>
      <c r="D34" s="1">
        <v>8000272.0999999996</v>
      </c>
      <c r="E34" s="1">
        <v>242462.5</v>
      </c>
      <c r="F34" s="1">
        <v>94611.3</v>
      </c>
      <c r="G34" s="1">
        <v>1870598.84</v>
      </c>
      <c r="H34" s="1">
        <v>1965210.14</v>
      </c>
      <c r="I34" s="1">
        <v>89839.07</v>
      </c>
      <c r="J34" s="1">
        <f t="shared" si="3"/>
        <v>8152895.5299999993</v>
      </c>
      <c r="K34" s="1">
        <v>350.78</v>
      </c>
      <c r="L34" s="1">
        <v>485617.49</v>
      </c>
      <c r="M34" s="1">
        <v>5701717.1200000001</v>
      </c>
      <c r="N34" s="1">
        <f>VLOOKUP(A34,'State Share Base Cost'!$A$3:$G$52,7,FALSE)</f>
        <v>7628249.4906541444</v>
      </c>
      <c r="O34" s="1">
        <f>VLOOKUP(A34,DPIA!$A$5:$H$54,8,FALSE)</f>
        <v>121580.63</v>
      </c>
      <c r="P34" s="1">
        <f>VLOOKUP(A34,EL!$A$5:$L$54,12,FALSE)</f>
        <v>2205.8969058816833</v>
      </c>
      <c r="Q34" s="1">
        <f>VLOOKUP(A34,'Special Edu'!$A$5:$Q$54,17,FALSE)</f>
        <v>1045399.5607526754</v>
      </c>
      <c r="R34" s="1">
        <f>VLOOKUP(A34,CTE!$A$5:$R$54,18,FALSE)</f>
        <v>3822149.0485259783</v>
      </c>
      <c r="S34" s="1">
        <f t="shared" si="4"/>
        <v>1284419.1315151178</v>
      </c>
      <c r="T34" s="1">
        <f t="shared" si="0"/>
        <v>21162.098051999998</v>
      </c>
      <c r="U34" s="1">
        <f t="shared" si="1"/>
        <v>1236.8064411513183</v>
      </c>
      <c r="V34" s="1">
        <f t="shared" si="2"/>
        <v>373206.70657080866</v>
      </c>
      <c r="W34" s="1">
        <f t="shared" si="5"/>
        <v>1238021.1703142698</v>
      </c>
      <c r="X34" s="1">
        <f t="shared" si="6"/>
        <v>11160780.512893349</v>
      </c>
      <c r="Y34" s="1">
        <f t="shared" si="7"/>
        <v>8242734.5999999996</v>
      </c>
      <c r="Z34" s="1">
        <f t="shared" si="8"/>
        <v>0</v>
      </c>
      <c r="AA34" s="1">
        <f>VLOOKUP(A34,'Detailed SFPR_Calc'!$A$5:$Q$54,17,FALSE)</f>
        <v>8235460.9800000004</v>
      </c>
      <c r="AB34" s="1">
        <f>VLOOKUP(A34,'Detailed SFPR_Calc'!$A$5:$R$54,18,FALSE)</f>
        <v>254927.24</v>
      </c>
      <c r="AC34" s="1">
        <f t="shared" si="9"/>
        <v>8490388.2200000007</v>
      </c>
      <c r="AD34" s="1">
        <f t="shared" si="10"/>
        <v>0</v>
      </c>
      <c r="AE34" s="1">
        <f t="shared" si="11"/>
        <v>11160780.512893349</v>
      </c>
      <c r="AF34" s="9">
        <v>0</v>
      </c>
      <c r="AG34" s="9">
        <v>13936.99</v>
      </c>
      <c r="AH34" s="9">
        <v>85344.9</v>
      </c>
      <c r="AI34" s="9">
        <v>-54657.1</v>
      </c>
      <c r="AJ34" s="9">
        <f t="shared" si="12"/>
        <v>44624.79</v>
      </c>
      <c r="AK34" s="9">
        <f t="shared" si="13"/>
        <v>11205405.302893348</v>
      </c>
      <c r="AL34" s="9">
        <f t="shared" si="14"/>
        <v>0</v>
      </c>
      <c r="AM34" s="118">
        <f>VLOOKUP(A34,'Base Cost_Calc'!$A$7:$AY$56,51,FALSE)</f>
        <v>4.001071164820906E-2</v>
      </c>
      <c r="AN34" s="9">
        <f t="shared" si="15"/>
        <v>279520.28309447155</v>
      </c>
      <c r="AO34" s="37">
        <f t="shared" si="16"/>
        <v>0</v>
      </c>
      <c r="AP34" s="9">
        <f t="shared" si="17"/>
        <v>6986136.2515151184</v>
      </c>
      <c r="AQ34" s="9">
        <f t="shared" si="18"/>
        <v>858824.19657080865</v>
      </c>
      <c r="AR34" s="9">
        <f t="shared" si="19"/>
        <v>111001.16805200001</v>
      </c>
      <c r="AS34" s="9">
        <f t="shared" si="20"/>
        <v>1587.5864411513182</v>
      </c>
      <c r="AT34" s="9">
        <f t="shared" si="21"/>
        <v>3203231.3103142697</v>
      </c>
      <c r="AU34" s="9">
        <v>4154884891.0519977</v>
      </c>
      <c r="AV34" s="9">
        <v>244650.59</v>
      </c>
    </row>
    <row r="35" spans="1:48" x14ac:dyDescent="0.25">
      <c r="A35" t="s">
        <v>161</v>
      </c>
      <c r="B35" t="s">
        <v>162</v>
      </c>
      <c r="C35" t="s">
        <v>231</v>
      </c>
      <c r="D35" s="1">
        <v>6498810.5199999996</v>
      </c>
      <c r="E35" s="1">
        <v>737363.87</v>
      </c>
      <c r="F35" s="1">
        <v>238185.47</v>
      </c>
      <c r="G35" s="1">
        <v>2251793.1</v>
      </c>
      <c r="H35" s="1">
        <v>2489978.5699999998</v>
      </c>
      <c r="I35" s="1">
        <v>10889.05</v>
      </c>
      <c r="J35" s="1">
        <f t="shared" si="3"/>
        <v>7225285.3399999999</v>
      </c>
      <c r="K35" s="1">
        <v>2327.83</v>
      </c>
      <c r="L35" s="1">
        <v>879345.27</v>
      </c>
      <c r="M35" s="1">
        <v>3853633.67</v>
      </c>
      <c r="N35" s="1">
        <f>VLOOKUP(A35,'State Share Base Cost'!$A$3:$G$52,7,FALSE)</f>
        <v>8352437.7784274835</v>
      </c>
      <c r="O35" s="1">
        <f>VLOOKUP(A35,DPIA!$A$5:$H$54,8,FALSE)</f>
        <v>31679.98</v>
      </c>
      <c r="P35" s="1">
        <f>VLOOKUP(A35,EL!$A$5:$L$54,12,FALSE)</f>
        <v>2965.2982444613408</v>
      </c>
      <c r="Q35" s="1">
        <f>VLOOKUP(A35,'Special Edu'!$A$5:$Q$54,17,FALSE)</f>
        <v>1268057.7062883973</v>
      </c>
      <c r="R35" s="1">
        <f>VLOOKUP(A35,CTE!$A$5:$R$54,18,FALSE)</f>
        <v>3102409.5778248142</v>
      </c>
      <c r="S35" s="1">
        <f t="shared" si="4"/>
        <v>2999352.6990886033</v>
      </c>
      <c r="T35" s="1">
        <f t="shared" si="0"/>
        <v>13861.313031</v>
      </c>
      <c r="U35" s="1">
        <f t="shared" si="1"/>
        <v>425.00007858237592</v>
      </c>
      <c r="V35" s="1">
        <f t="shared" si="2"/>
        <v>259154.58127347447</v>
      </c>
      <c r="W35" s="1">
        <f t="shared" si="5"/>
        <v>408307.75291680376</v>
      </c>
      <c r="X35" s="1">
        <f t="shared" si="6"/>
        <v>10917275.736388464</v>
      </c>
      <c r="Y35" s="1">
        <f t="shared" si="7"/>
        <v>7236174.3899999997</v>
      </c>
      <c r="Z35" s="1">
        <f t="shared" si="8"/>
        <v>0</v>
      </c>
      <c r="AA35" s="1">
        <f>VLOOKUP(A35,'Detailed SFPR_Calc'!$A$5:$Q$54,17,FALSE)</f>
        <v>6620352.6600000001</v>
      </c>
      <c r="AB35" s="1">
        <f>VLOOKUP(A35,'Detailed SFPR_Calc'!$A$5:$R$54,18,FALSE)</f>
        <v>1106003.8899999999</v>
      </c>
      <c r="AC35" s="1">
        <f t="shared" si="9"/>
        <v>7726356.5499999998</v>
      </c>
      <c r="AD35" s="1">
        <f t="shared" si="10"/>
        <v>0</v>
      </c>
      <c r="AE35" s="1">
        <f t="shared" si="11"/>
        <v>10917275.736388464</v>
      </c>
      <c r="AF35" s="9">
        <v>0</v>
      </c>
      <c r="AG35" s="9">
        <v>4940.63</v>
      </c>
      <c r="AH35" s="9">
        <v>123722.31</v>
      </c>
      <c r="AI35" s="9">
        <v>-93734.6</v>
      </c>
      <c r="AJ35" s="9">
        <f t="shared" si="12"/>
        <v>34928.339999999997</v>
      </c>
      <c r="AK35" s="9">
        <f t="shared" si="13"/>
        <v>10952204.076388463</v>
      </c>
      <c r="AL35" s="9">
        <f t="shared" si="14"/>
        <v>0</v>
      </c>
      <c r="AM35" s="118">
        <f>VLOOKUP(A35,'Base Cost_Calc'!$A$7:$AY$56,51,FALSE)</f>
        <v>4.1659787339928166E-2</v>
      </c>
      <c r="AN35" s="9">
        <f t="shared" si="15"/>
        <v>285493.95477965765</v>
      </c>
      <c r="AO35" s="37">
        <f t="shared" si="16"/>
        <v>0</v>
      </c>
      <c r="AP35" s="9">
        <f t="shared" si="17"/>
        <v>6852986.3690886032</v>
      </c>
      <c r="AQ35" s="9">
        <f t="shared" si="18"/>
        <v>1138499.8512734745</v>
      </c>
      <c r="AR35" s="9">
        <f t="shared" si="19"/>
        <v>24750.363031000001</v>
      </c>
      <c r="AS35" s="9">
        <f t="shared" si="20"/>
        <v>2752.8300785823758</v>
      </c>
      <c r="AT35" s="9">
        <f t="shared" si="21"/>
        <v>2898286.3229168034</v>
      </c>
      <c r="AU35" s="9">
        <v>6608382479.2446976</v>
      </c>
      <c r="AV35" s="9">
        <v>240237.4</v>
      </c>
    </row>
    <row r="36" spans="1:48" x14ac:dyDescent="0.25">
      <c r="A36" t="s">
        <v>163</v>
      </c>
      <c r="B36" t="s">
        <v>164</v>
      </c>
      <c r="C36" t="s">
        <v>232</v>
      </c>
      <c r="D36" s="1">
        <v>5222967.3499999996</v>
      </c>
      <c r="E36" s="1">
        <v>165906.47</v>
      </c>
      <c r="F36" s="1">
        <v>46891.07</v>
      </c>
      <c r="G36" s="1">
        <v>1431356.65</v>
      </c>
      <c r="H36" s="1">
        <v>1478247.72</v>
      </c>
      <c r="I36" s="1">
        <v>516308.63</v>
      </c>
      <c r="J36" s="1">
        <f t="shared" si="3"/>
        <v>4872565.1899999995</v>
      </c>
      <c r="K36" s="1">
        <v>0</v>
      </c>
      <c r="L36" s="1">
        <v>681343.46</v>
      </c>
      <c r="M36" s="1">
        <v>2712974.01</v>
      </c>
      <c r="N36" s="1">
        <f>VLOOKUP(A36,'State Share Base Cost'!$A$3:$G$52,7,FALSE)</f>
        <v>6156131.3980483506</v>
      </c>
      <c r="O36" s="1">
        <f>VLOOKUP(A36,DPIA!$A$5:$H$54,8,FALSE)</f>
        <v>854651.84</v>
      </c>
      <c r="P36" s="1">
        <f>VLOOKUP(A36,EL!$A$5:$L$54,12,FALSE)</f>
        <v>0</v>
      </c>
      <c r="Q36" s="1">
        <f>VLOOKUP(A36,'Special Edu'!$A$5:$Q$54,17,FALSE)</f>
        <v>1264296.3888358944</v>
      </c>
      <c r="R36" s="1">
        <f>VLOOKUP(A36,CTE!$A$5:$R$54,18,FALSE)</f>
        <v>2361770.4527752469</v>
      </c>
      <c r="S36" s="1">
        <f t="shared" si="4"/>
        <v>2295553.0306118354</v>
      </c>
      <c r="T36" s="1">
        <f t="shared" si="0"/>
        <v>225573.41810699998</v>
      </c>
      <c r="U36" s="1">
        <f t="shared" si="1"/>
        <v>0</v>
      </c>
      <c r="V36" s="1">
        <f t="shared" si="2"/>
        <v>388654.71765489079</v>
      </c>
      <c r="W36" s="1">
        <f t="shared" si="5"/>
        <v>589044.60594125709</v>
      </c>
      <c r="X36" s="1">
        <f t="shared" si="6"/>
        <v>8887699.5923149828</v>
      </c>
      <c r="Y36" s="1">
        <f t="shared" si="7"/>
        <v>5388873.8199999994</v>
      </c>
      <c r="Z36" s="1">
        <f t="shared" si="8"/>
        <v>0</v>
      </c>
      <c r="AA36" s="1">
        <f>VLOOKUP(A36,'Detailed SFPR_Calc'!$A$5:$Q$54,17,FALSE)</f>
        <v>5448863.1500000004</v>
      </c>
      <c r="AB36" s="1">
        <f>VLOOKUP(A36,'Detailed SFPR_Calc'!$A$5:$R$54,18,FALSE)</f>
        <v>164817.79</v>
      </c>
      <c r="AC36" s="1">
        <f t="shared" si="9"/>
        <v>5613680.9400000004</v>
      </c>
      <c r="AD36" s="1">
        <f t="shared" si="10"/>
        <v>0</v>
      </c>
      <c r="AE36" s="1">
        <f t="shared" si="11"/>
        <v>8887699.5923149828</v>
      </c>
      <c r="AF36" s="9">
        <v>0</v>
      </c>
      <c r="AG36" s="9">
        <v>4173.3599999999997</v>
      </c>
      <c r="AH36" s="9">
        <v>50667.16</v>
      </c>
      <c r="AI36" s="9">
        <v>-39347.660000000003</v>
      </c>
      <c r="AJ36" s="9">
        <f t="shared" si="12"/>
        <v>15492.86</v>
      </c>
      <c r="AK36" s="9">
        <f t="shared" si="13"/>
        <v>8903192.4523149822</v>
      </c>
      <c r="AL36" s="9">
        <f t="shared" si="14"/>
        <v>0</v>
      </c>
      <c r="AM36" s="118">
        <f>VLOOKUP(A36,'Base Cost_Calc'!$A$7:$AY$56,51,FALSE)</f>
        <v>3.8186809819707374E-2</v>
      </c>
      <c r="AN36" s="9">
        <f t="shared" si="15"/>
        <v>191259.66957670593</v>
      </c>
      <c r="AO36" s="37">
        <f t="shared" si="16"/>
        <v>0</v>
      </c>
      <c r="AP36" s="9">
        <f t="shared" si="17"/>
        <v>5008527.0406118352</v>
      </c>
      <c r="AQ36" s="9">
        <f t="shared" si="18"/>
        <v>1069998.1776548908</v>
      </c>
      <c r="AR36" s="9">
        <f t="shared" si="19"/>
        <v>741882.04810699995</v>
      </c>
      <c r="AS36" s="9">
        <f t="shared" si="20"/>
        <v>0</v>
      </c>
      <c r="AT36" s="9">
        <f t="shared" si="21"/>
        <v>2067292.3259412572</v>
      </c>
      <c r="AU36" s="9">
        <v>1382502626.5999639</v>
      </c>
      <c r="AV36" s="9">
        <v>168960.46</v>
      </c>
    </row>
    <row r="37" spans="1:48" x14ac:dyDescent="0.25">
      <c r="A37" t="s">
        <v>165</v>
      </c>
      <c r="B37" t="s">
        <v>166</v>
      </c>
      <c r="C37" t="s">
        <v>233</v>
      </c>
      <c r="D37" s="1">
        <v>5777286.3099999996</v>
      </c>
      <c r="E37" s="1">
        <v>91714.880000000005</v>
      </c>
      <c r="F37" s="1">
        <v>32779.08</v>
      </c>
      <c r="G37" s="1">
        <v>1616917.44</v>
      </c>
      <c r="H37" s="1">
        <v>1649696.52</v>
      </c>
      <c r="I37" s="1">
        <v>120749.32</v>
      </c>
      <c r="J37" s="1">
        <f t="shared" si="3"/>
        <v>5748251.8699999992</v>
      </c>
      <c r="K37" s="1">
        <v>7832.92</v>
      </c>
      <c r="L37" s="1">
        <v>683659.43</v>
      </c>
      <c r="M37" s="1">
        <v>3407063</v>
      </c>
      <c r="N37" s="1">
        <f>VLOOKUP(A37,'State Share Base Cost'!$A$3:$G$52,7,FALSE)</f>
        <v>6490132.6837248178</v>
      </c>
      <c r="O37" s="1">
        <f>VLOOKUP(A37,DPIA!$A$5:$H$54,8,FALSE)</f>
        <v>206548.1</v>
      </c>
      <c r="P37" s="1">
        <f>VLOOKUP(A37,EL!$A$5:$L$54,12,FALSE)</f>
        <v>20045.877041419993</v>
      </c>
      <c r="Q37" s="1">
        <f>VLOOKUP(A37,'Special Edu'!$A$5:$Q$54,17,FALSE)</f>
        <v>1165459.9845931521</v>
      </c>
      <c r="R37" s="1">
        <f>VLOOKUP(A37,CTE!$A$5:$R$54,18,FALSE)</f>
        <v>2333050.2498400528</v>
      </c>
      <c r="S37" s="1">
        <f t="shared" si="4"/>
        <v>2055482.5581393358</v>
      </c>
      <c r="T37" s="1">
        <f t="shared" ref="T37:T53" si="22">(O37-I37)*$U$2</f>
        <v>57202.046625999996</v>
      </c>
      <c r="U37" s="1">
        <f t="shared" ref="U37:U53" si="23">(P37-K37)*$U$1</f>
        <v>8142.378459514709</v>
      </c>
      <c r="V37" s="1">
        <f t="shared" ref="V37:V53" si="24">(Q37-L37)*$U$1</f>
        <v>321216.42974725441</v>
      </c>
      <c r="W37" s="1">
        <f t="shared" si="5"/>
        <v>455591.93168436317</v>
      </c>
      <c r="X37" s="1">
        <f t="shared" si="6"/>
        <v>8766636.5346564688</v>
      </c>
      <c r="Y37" s="1">
        <f t="shared" si="7"/>
        <v>5869001.1899999995</v>
      </c>
      <c r="Z37" s="1">
        <f t="shared" si="8"/>
        <v>0</v>
      </c>
      <c r="AA37" s="1">
        <f>VLOOKUP(A37,'Detailed SFPR_Calc'!$A$5:$Q$54,17,FALSE)</f>
        <v>5949851.7000000002</v>
      </c>
      <c r="AB37" s="1">
        <f>VLOOKUP(A37,'Detailed SFPR_Calc'!$A$5:$R$54,18,FALSE)</f>
        <v>89517.89</v>
      </c>
      <c r="AC37" s="1">
        <f t="shared" si="9"/>
        <v>6039369.5899999999</v>
      </c>
      <c r="AD37" s="1">
        <f t="shared" si="10"/>
        <v>0</v>
      </c>
      <c r="AE37" s="1">
        <f t="shared" si="11"/>
        <v>8766636.5346564688</v>
      </c>
      <c r="AF37" s="9">
        <v>0</v>
      </c>
      <c r="AG37" s="9">
        <v>147880.57999999999</v>
      </c>
      <c r="AH37" s="9">
        <v>94227.31</v>
      </c>
      <c r="AI37" s="9">
        <v>-61886.44</v>
      </c>
      <c r="AJ37" s="9">
        <f t="shared" si="12"/>
        <v>180221.44999999998</v>
      </c>
      <c r="AK37" s="9">
        <f t="shared" si="13"/>
        <v>8946857.984656468</v>
      </c>
      <c r="AL37" s="9">
        <f t="shared" si="14"/>
        <v>0</v>
      </c>
      <c r="AM37" s="118">
        <f>VLOOKUP(A37,'Base Cost_Calc'!$A$7:$AY$56,51,FALSE)</f>
        <v>3.9857602032987063E-2</v>
      </c>
      <c r="AN37" s="9">
        <f t="shared" si="15"/>
        <v>217723.96694337882</v>
      </c>
      <c r="AO37" s="37">
        <f t="shared" si="16"/>
        <v>0</v>
      </c>
      <c r="AP37" s="9">
        <f t="shared" si="17"/>
        <v>5462545.5581393354</v>
      </c>
      <c r="AQ37" s="9">
        <f t="shared" si="18"/>
        <v>1004875.8597472545</v>
      </c>
      <c r="AR37" s="9">
        <f t="shared" si="19"/>
        <v>177951.366626</v>
      </c>
      <c r="AS37" s="9">
        <f t="shared" si="20"/>
        <v>15975.29845951471</v>
      </c>
      <c r="AT37" s="9">
        <f t="shared" si="21"/>
        <v>2105288.4516843632</v>
      </c>
      <c r="AU37" s="9">
        <v>3188010362.3963695</v>
      </c>
      <c r="AV37" s="9">
        <v>174582.21</v>
      </c>
    </row>
    <row r="38" spans="1:48" x14ac:dyDescent="0.25">
      <c r="A38" t="s">
        <v>167</v>
      </c>
      <c r="B38" t="s">
        <v>168</v>
      </c>
      <c r="C38" t="s">
        <v>234</v>
      </c>
      <c r="D38" s="1">
        <v>3590253.88</v>
      </c>
      <c r="E38" s="1">
        <v>208059.48</v>
      </c>
      <c r="F38" s="1">
        <v>69057.679999999993</v>
      </c>
      <c r="G38" s="1">
        <v>1049672.56</v>
      </c>
      <c r="H38" s="1">
        <v>1118730.24</v>
      </c>
      <c r="I38" s="1">
        <v>207496.41</v>
      </c>
      <c r="J38" s="1">
        <f t="shared" si="3"/>
        <v>3590816.9499999997</v>
      </c>
      <c r="K38" s="1">
        <v>0</v>
      </c>
      <c r="L38" s="1">
        <v>480842.72</v>
      </c>
      <c r="M38" s="1">
        <v>1991243.99</v>
      </c>
      <c r="N38" s="1">
        <f>VLOOKUP(A38,'State Share Base Cost'!$A$3:$G$52,7,FALSE)</f>
        <v>4807784.3212957177</v>
      </c>
      <c r="O38" s="1">
        <f>VLOOKUP(A38,DPIA!$A$5:$H$54,8,FALSE)</f>
        <v>1549704</v>
      </c>
      <c r="P38" s="1">
        <f>VLOOKUP(A38,EL!$A$5:$L$54,12,FALSE)</f>
        <v>671.46111869615765</v>
      </c>
      <c r="Q38" s="1">
        <f>VLOOKUP(A38,'Special Edu'!$A$5:$Q$54,17,FALSE)</f>
        <v>1163442.0566036166</v>
      </c>
      <c r="R38" s="1">
        <f>VLOOKUP(A38,CTE!$A$5:$R$54,18,FALSE)</f>
        <v>1763013.5847136315</v>
      </c>
      <c r="S38" s="1">
        <f t="shared" si="4"/>
        <v>1877787.4388748547</v>
      </c>
      <c r="T38" s="1">
        <f t="shared" si="22"/>
        <v>894849.80025299999</v>
      </c>
      <c r="U38" s="1">
        <f t="shared" si="23"/>
        <v>447.6631278347283</v>
      </c>
      <c r="V38" s="1">
        <f t="shared" si="24"/>
        <v>455088.97771363117</v>
      </c>
      <c r="W38" s="1">
        <f t="shared" si="5"/>
        <v>429543.70592057816</v>
      </c>
      <c r="X38" s="1">
        <f t="shared" si="6"/>
        <v>7456030.9458898995</v>
      </c>
      <c r="Y38" s="1">
        <f t="shared" si="7"/>
        <v>3798313.36</v>
      </c>
      <c r="Z38" s="1">
        <f t="shared" si="8"/>
        <v>0</v>
      </c>
      <c r="AA38" s="1">
        <f>VLOOKUP(A38,'Detailed SFPR_Calc'!$A$5:$Q$54,17,FALSE)</f>
        <v>3771465.69</v>
      </c>
      <c r="AB38" s="1">
        <f>VLOOKUP(A38,'Detailed SFPR_Calc'!$A$5:$R$54,18,FALSE)</f>
        <v>219687.07</v>
      </c>
      <c r="AC38" s="1">
        <f t="shared" si="9"/>
        <v>3991152.76</v>
      </c>
      <c r="AD38" s="1">
        <f t="shared" si="10"/>
        <v>0</v>
      </c>
      <c r="AE38" s="1">
        <f t="shared" si="11"/>
        <v>7456030.9458898995</v>
      </c>
      <c r="AF38" s="9">
        <v>0</v>
      </c>
      <c r="AG38" s="9">
        <v>49704.75</v>
      </c>
      <c r="AH38" s="9">
        <v>59414.11</v>
      </c>
      <c r="AI38" s="9">
        <v>-54975.02</v>
      </c>
      <c r="AJ38" s="9">
        <f t="shared" si="12"/>
        <v>54143.840000000004</v>
      </c>
      <c r="AK38" s="9">
        <f t="shared" si="13"/>
        <v>7510174.7858898994</v>
      </c>
      <c r="AL38" s="9">
        <f t="shared" si="14"/>
        <v>0</v>
      </c>
      <c r="AM38" s="118">
        <f>VLOOKUP(A38,'Base Cost_Calc'!$A$7:$AY$56,51,FALSE)</f>
        <v>3.7098261237478836E-2</v>
      </c>
      <c r="AN38" s="9">
        <f t="shared" si="15"/>
        <v>143534.33868441539</v>
      </c>
      <c r="AO38" s="37">
        <f t="shared" si="16"/>
        <v>0</v>
      </c>
      <c r="AP38" s="9">
        <f t="shared" si="17"/>
        <v>3869031.4288748549</v>
      </c>
      <c r="AQ38" s="9">
        <f t="shared" si="18"/>
        <v>935931.69771363121</v>
      </c>
      <c r="AR38" s="9">
        <f t="shared" si="19"/>
        <v>1102346.210253</v>
      </c>
      <c r="AS38" s="9">
        <f t="shared" si="20"/>
        <v>447.6631278347283</v>
      </c>
      <c r="AT38" s="9">
        <f t="shared" si="21"/>
        <v>1548273.9459205782</v>
      </c>
      <c r="AU38" s="9">
        <v>2879270771.8839269</v>
      </c>
      <c r="AV38" s="9">
        <v>116715.24</v>
      </c>
    </row>
    <row r="39" spans="1:48" x14ac:dyDescent="0.25">
      <c r="A39" t="s">
        <v>169</v>
      </c>
      <c r="B39" t="s">
        <v>170</v>
      </c>
      <c r="C39" t="s">
        <v>235</v>
      </c>
      <c r="D39" s="1">
        <v>7538012.9400000004</v>
      </c>
      <c r="E39" s="1">
        <v>155566.32999999999</v>
      </c>
      <c r="F39" s="1">
        <v>49975.53</v>
      </c>
      <c r="G39" s="1">
        <v>1950472.56</v>
      </c>
      <c r="H39" s="1">
        <v>2000448.09</v>
      </c>
      <c r="I39" s="1">
        <v>199034.47</v>
      </c>
      <c r="J39" s="1">
        <f t="shared" si="3"/>
        <v>7494544.8000000007</v>
      </c>
      <c r="K39" s="1">
        <v>0</v>
      </c>
      <c r="L39" s="1">
        <v>1515424.62</v>
      </c>
      <c r="M39" s="1">
        <v>3978672.09</v>
      </c>
      <c r="N39" s="1">
        <f>VLOOKUP(A39,'State Share Base Cost'!$A$3:$G$52,7,FALSE)</f>
        <v>7765450.8145695329</v>
      </c>
      <c r="O39" s="1">
        <f>VLOOKUP(A39,DPIA!$A$5:$H$54,8,FALSE)</f>
        <v>384793.79</v>
      </c>
      <c r="P39" s="1">
        <f>VLOOKUP(A39,EL!$A$5:$L$54,12,FALSE)</f>
        <v>0</v>
      </c>
      <c r="Q39" s="1">
        <f>VLOOKUP(A39,'Special Edu'!$A$5:$Q$54,17,FALSE)</f>
        <v>1478699.8104469324</v>
      </c>
      <c r="R39" s="1">
        <f>VLOOKUP(A39,CTE!$A$5:$R$54,18,FALSE)</f>
        <v>2820224.8229265083</v>
      </c>
      <c r="S39" s="1">
        <f t="shared" si="4"/>
        <v>2524645.3756705076</v>
      </c>
      <c r="T39" s="1">
        <f t="shared" si="22"/>
        <v>123845.73864399998</v>
      </c>
      <c r="U39" s="1">
        <f t="shared" si="23"/>
        <v>0</v>
      </c>
      <c r="V39" s="1">
        <f t="shared" si="24"/>
        <v>-24484.430529030211</v>
      </c>
      <c r="W39" s="1">
        <f t="shared" si="5"/>
        <v>546545.14784210292</v>
      </c>
      <c r="X39" s="1">
        <f t="shared" si="6"/>
        <v>10864131.101627581</v>
      </c>
      <c r="Y39" s="1">
        <f t="shared" si="7"/>
        <v>7693579.2700000005</v>
      </c>
      <c r="Z39" s="1">
        <f t="shared" si="8"/>
        <v>0</v>
      </c>
      <c r="AA39" s="1">
        <f>VLOOKUP(A39,'Detailed SFPR_Calc'!$A$5:$Q$54,17,FALSE)</f>
        <v>7796397.1500000004</v>
      </c>
      <c r="AB39" s="1">
        <f>VLOOKUP(A39,'Detailed SFPR_Calc'!$A$5:$R$54,18,FALSE)</f>
        <v>161478.20000000001</v>
      </c>
      <c r="AC39" s="1">
        <f t="shared" si="9"/>
        <v>7957875.3500000006</v>
      </c>
      <c r="AD39" s="1">
        <f t="shared" si="10"/>
        <v>0</v>
      </c>
      <c r="AE39" s="1">
        <f t="shared" si="11"/>
        <v>10864131.101627581</v>
      </c>
      <c r="AF39" s="9">
        <v>0</v>
      </c>
      <c r="AG39" s="9">
        <v>63198.83</v>
      </c>
      <c r="AH39" s="9">
        <v>122563.44</v>
      </c>
      <c r="AI39" s="9">
        <v>-127488.66</v>
      </c>
      <c r="AJ39" s="9">
        <f t="shared" si="12"/>
        <v>58273.610000000015</v>
      </c>
      <c r="AK39" s="9">
        <f t="shared" si="13"/>
        <v>10922404.71162758</v>
      </c>
      <c r="AL39" s="9">
        <f t="shared" si="14"/>
        <v>0</v>
      </c>
      <c r="AM39" s="118">
        <f>VLOOKUP(A39,'Base Cost_Calc'!$A$7:$AY$56,51,FALSE)</f>
        <v>4.0164118938049373E-2</v>
      </c>
      <c r="AN39" s="9">
        <f t="shared" si="15"/>
        <v>261200.01618308408</v>
      </c>
      <c r="AO39" s="37">
        <f t="shared" si="16"/>
        <v>0</v>
      </c>
      <c r="AP39" s="9">
        <f t="shared" si="17"/>
        <v>6503317.4656705074</v>
      </c>
      <c r="AQ39" s="9">
        <f t="shared" si="18"/>
        <v>1490940.1894709698</v>
      </c>
      <c r="AR39" s="9">
        <f t="shared" si="19"/>
        <v>322880.208644</v>
      </c>
      <c r="AS39" s="9">
        <f t="shared" si="20"/>
        <v>0</v>
      </c>
      <c r="AT39" s="9">
        <f t="shared" si="21"/>
        <v>2546993.237842103</v>
      </c>
      <c r="AU39" s="9">
        <v>4117628204.3632197</v>
      </c>
      <c r="AV39" s="9">
        <v>218992.42</v>
      </c>
    </row>
    <row r="40" spans="1:48" x14ac:dyDescent="0.25">
      <c r="A40" t="s">
        <v>171</v>
      </c>
      <c r="B40" t="s">
        <v>172</v>
      </c>
      <c r="C40" t="s">
        <v>236</v>
      </c>
      <c r="D40" s="1">
        <v>6899219.6600000001</v>
      </c>
      <c r="E40" s="1">
        <v>261378</v>
      </c>
      <c r="F40" s="1">
        <v>84329.8</v>
      </c>
      <c r="G40" s="1">
        <v>1852752.54</v>
      </c>
      <c r="H40" s="1">
        <v>1937082.34</v>
      </c>
      <c r="I40" s="1">
        <v>86819.22</v>
      </c>
      <c r="J40" s="1">
        <f t="shared" si="3"/>
        <v>7073778.4400000004</v>
      </c>
      <c r="K40" s="1">
        <v>16837.59</v>
      </c>
      <c r="L40" s="1">
        <v>1229623.29</v>
      </c>
      <c r="M40" s="1">
        <v>3890235.22</v>
      </c>
      <c r="N40" s="1">
        <f>VLOOKUP(A40,'State Share Base Cost'!$A$3:$G$52,7,FALSE)</f>
        <v>6798812.3335201908</v>
      </c>
      <c r="O40" s="1">
        <f>VLOOKUP(A40,DPIA!$A$5:$H$54,8,FALSE)</f>
        <v>163074.89000000001</v>
      </c>
      <c r="P40" s="1">
        <f>VLOOKUP(A40,EL!$A$5:$L$54,12,FALSE)</f>
        <v>17765.187641296514</v>
      </c>
      <c r="Q40" s="1">
        <f>VLOOKUP(A40,'Special Edu'!$A$5:$Q$54,17,FALSE)</f>
        <v>1222723.7602495048</v>
      </c>
      <c r="R40" s="1">
        <f>VLOOKUP(A40,CTE!$A$5:$R$54,18,FALSE)</f>
        <v>2471117.403596357</v>
      </c>
      <c r="S40" s="1">
        <f t="shared" si="4"/>
        <v>1939148.3615839109</v>
      </c>
      <c r="T40" s="1">
        <f t="shared" si="22"/>
        <v>50839.655189000005</v>
      </c>
      <c r="U40" s="1">
        <f t="shared" si="23"/>
        <v>618.42934745238563</v>
      </c>
      <c r="V40" s="1">
        <f t="shared" si="24"/>
        <v>-4599.9164846551612</v>
      </c>
      <c r="W40" s="1">
        <f t="shared" si="5"/>
        <v>356041.17689969111</v>
      </c>
      <c r="X40" s="1">
        <f t="shared" si="6"/>
        <v>9502645.3665353991</v>
      </c>
      <c r="Y40" s="1">
        <f t="shared" si="7"/>
        <v>7160597.6600000001</v>
      </c>
      <c r="Z40" s="1">
        <f t="shared" si="8"/>
        <v>0</v>
      </c>
      <c r="AA40" s="1">
        <f>VLOOKUP(A40,'Detailed SFPR_Calc'!$A$5:$Q$54,17,FALSE)</f>
        <v>7216710.5499999998</v>
      </c>
      <c r="AB40" s="1">
        <f>VLOOKUP(A40,'Detailed SFPR_Calc'!$A$5:$R$54,18,FALSE)</f>
        <v>344853.13</v>
      </c>
      <c r="AC40" s="1">
        <f t="shared" si="9"/>
        <v>7561563.6799999997</v>
      </c>
      <c r="AD40" s="1">
        <f t="shared" si="10"/>
        <v>0</v>
      </c>
      <c r="AE40" s="1">
        <f t="shared" si="11"/>
        <v>9502645.3665353991</v>
      </c>
      <c r="AF40" s="9">
        <v>-164381.32999999999</v>
      </c>
      <c r="AG40" s="9">
        <v>19370.349999999999</v>
      </c>
      <c r="AH40" s="9">
        <v>83435.179999999993</v>
      </c>
      <c r="AI40" s="9">
        <v>-121990.71</v>
      </c>
      <c r="AJ40" s="9">
        <f t="shared" si="12"/>
        <v>-183566.51</v>
      </c>
      <c r="AK40" s="9">
        <f t="shared" si="13"/>
        <v>9319078.8565353993</v>
      </c>
      <c r="AL40" s="9">
        <f t="shared" si="14"/>
        <v>0</v>
      </c>
      <c r="AM40" s="118">
        <f>VLOOKUP(A40,'Base Cost_Calc'!$A$7:$AY$56,51,FALSE)</f>
        <v>4.0831912874460141E-2</v>
      </c>
      <c r="AN40" s="9">
        <f t="shared" si="15"/>
        <v>238024.8825150427</v>
      </c>
      <c r="AO40" s="37">
        <f t="shared" si="16"/>
        <v>0</v>
      </c>
      <c r="AP40" s="9">
        <f t="shared" si="17"/>
        <v>5829383.5815839116</v>
      </c>
      <c r="AQ40" s="9">
        <f t="shared" si="18"/>
        <v>1225023.3735153449</v>
      </c>
      <c r="AR40" s="9">
        <f t="shared" si="19"/>
        <v>137658.87518900001</v>
      </c>
      <c r="AS40" s="9">
        <f t="shared" si="20"/>
        <v>17456.019347452384</v>
      </c>
      <c r="AT40" s="9">
        <f t="shared" si="21"/>
        <v>2293123.516899691</v>
      </c>
      <c r="AU40" s="9">
        <v>4643700690.4042091</v>
      </c>
      <c r="AV40" s="9">
        <v>213556.38</v>
      </c>
    </row>
    <row r="41" spans="1:48" x14ac:dyDescent="0.25">
      <c r="A41" t="s">
        <v>173</v>
      </c>
      <c r="B41" t="s">
        <v>174</v>
      </c>
      <c r="C41" t="s">
        <v>237</v>
      </c>
      <c r="D41" s="1">
        <v>3586758.75</v>
      </c>
      <c r="E41" s="1">
        <v>263103.28999999998</v>
      </c>
      <c r="F41" s="1">
        <v>88884.49</v>
      </c>
      <c r="G41" s="1">
        <v>843021.44</v>
      </c>
      <c r="H41" s="1">
        <v>931905.93</v>
      </c>
      <c r="I41" s="1">
        <v>22152.21</v>
      </c>
      <c r="J41" s="1">
        <f t="shared" si="3"/>
        <v>3827709.83</v>
      </c>
      <c r="K41" s="1">
        <v>0</v>
      </c>
      <c r="L41" s="1">
        <v>493603.39</v>
      </c>
      <c r="M41" s="1">
        <v>2402200.5099999998</v>
      </c>
      <c r="N41" s="1">
        <f>VLOOKUP(A41,'State Share Base Cost'!$A$3:$G$52,7,FALSE)</f>
        <v>4615663.2748529743</v>
      </c>
      <c r="O41" s="1">
        <f>VLOOKUP(A41,DPIA!$A$5:$H$54,8,FALSE)</f>
        <v>41426.629999999997</v>
      </c>
      <c r="P41" s="1">
        <f>VLOOKUP(A41,EL!$A$5:$L$54,12,FALSE)</f>
        <v>0</v>
      </c>
      <c r="Q41" s="1">
        <f>VLOOKUP(A41,'Special Edu'!$A$5:$Q$54,17,FALSE)</f>
        <v>561785.22626815632</v>
      </c>
      <c r="R41" s="1">
        <f>VLOOKUP(A41,CTE!$A$5:$R$54,18,FALSE)</f>
        <v>1584797.112711055</v>
      </c>
      <c r="S41" s="1">
        <f t="shared" si="4"/>
        <v>1475715.6253274782</v>
      </c>
      <c r="T41" s="1">
        <f t="shared" si="22"/>
        <v>12850.255813999998</v>
      </c>
      <c r="U41" s="1">
        <f t="shared" si="23"/>
        <v>0</v>
      </c>
      <c r="V41" s="1">
        <f t="shared" si="24"/>
        <v>45456.830239979805</v>
      </c>
      <c r="W41" s="1">
        <f t="shared" si="5"/>
        <v>435282.55151346029</v>
      </c>
      <c r="X41" s="1">
        <f t="shared" si="6"/>
        <v>5819167.3028949182</v>
      </c>
      <c r="Y41" s="1">
        <f t="shared" si="7"/>
        <v>3849862.04</v>
      </c>
      <c r="Z41" s="1">
        <f t="shared" si="8"/>
        <v>0</v>
      </c>
      <c r="AA41" s="1">
        <f>VLOOKUP(A41,'Detailed SFPR_Calc'!$A$5:$Q$54,17,FALSE)</f>
        <v>3700102.2</v>
      </c>
      <c r="AB41" s="1">
        <f>VLOOKUP(A41,'Detailed SFPR_Calc'!$A$5:$R$54,18,FALSE)</f>
        <v>211032.03</v>
      </c>
      <c r="AC41" s="1">
        <f t="shared" si="9"/>
        <v>3911134.23</v>
      </c>
      <c r="AD41" s="1">
        <f t="shared" si="10"/>
        <v>0</v>
      </c>
      <c r="AE41" s="1">
        <f t="shared" si="11"/>
        <v>5819167.3028949182</v>
      </c>
      <c r="AF41" s="9">
        <v>0</v>
      </c>
      <c r="AG41" s="9">
        <v>30164.25</v>
      </c>
      <c r="AH41" s="9">
        <v>49217.89</v>
      </c>
      <c r="AI41" s="9">
        <v>-53295.87</v>
      </c>
      <c r="AJ41" s="9">
        <f t="shared" si="12"/>
        <v>26086.269999999997</v>
      </c>
      <c r="AK41" s="9">
        <f t="shared" si="13"/>
        <v>5845253.5728949178</v>
      </c>
      <c r="AL41" s="9">
        <f t="shared" si="14"/>
        <v>0</v>
      </c>
      <c r="AM41" s="118">
        <f>VLOOKUP(A41,'Base Cost_Calc'!$A$7:$AY$56,51,FALSE)</f>
        <v>3.5995733271991508E-2</v>
      </c>
      <c r="AN41" s="9">
        <f t="shared" si="15"/>
        <v>139588.43485840003</v>
      </c>
      <c r="AO41" s="37">
        <f t="shared" si="16"/>
        <v>0</v>
      </c>
      <c r="AP41" s="9">
        <f t="shared" si="17"/>
        <v>3877916.1353274779</v>
      </c>
      <c r="AQ41" s="9">
        <f t="shared" si="18"/>
        <v>539060.2202399798</v>
      </c>
      <c r="AR41" s="9">
        <f t="shared" si="19"/>
        <v>35002.465813999996</v>
      </c>
      <c r="AS41" s="9">
        <f t="shared" si="20"/>
        <v>0</v>
      </c>
      <c r="AT41" s="9">
        <f t="shared" si="21"/>
        <v>1367188.4815134604</v>
      </c>
      <c r="AU41" s="9">
        <v>2045569069.9156482</v>
      </c>
      <c r="AV41" s="9">
        <v>124703.34</v>
      </c>
    </row>
    <row r="42" spans="1:48" x14ac:dyDescent="0.25">
      <c r="A42" t="s">
        <v>175</v>
      </c>
      <c r="B42" t="s">
        <v>176</v>
      </c>
      <c r="C42" t="s">
        <v>238</v>
      </c>
      <c r="D42" s="1">
        <v>3563060.6</v>
      </c>
      <c r="E42" s="1">
        <v>64665.2</v>
      </c>
      <c r="F42" s="1">
        <v>21742.6</v>
      </c>
      <c r="G42" s="1">
        <v>1024665.33</v>
      </c>
      <c r="H42" s="1">
        <v>1046407.93</v>
      </c>
      <c r="I42" s="1">
        <v>102798.95</v>
      </c>
      <c r="J42" s="1">
        <f t="shared" si="3"/>
        <v>3524926.85</v>
      </c>
      <c r="K42" s="1">
        <v>0</v>
      </c>
      <c r="L42" s="1">
        <v>392399.42</v>
      </c>
      <c r="M42" s="1">
        <v>2086119.5</v>
      </c>
      <c r="N42" s="1">
        <f>VLOOKUP(A42,'State Share Base Cost'!$A$3:$G$52,7,FALSE)</f>
        <v>4498762.9451278029</v>
      </c>
      <c r="O42" s="1">
        <f>VLOOKUP(A42,DPIA!$A$5:$H$54,8,FALSE)</f>
        <v>155425.53</v>
      </c>
      <c r="P42" s="1">
        <f>VLOOKUP(A42,EL!$A$5:$L$54,12,FALSE)</f>
        <v>0</v>
      </c>
      <c r="Q42" s="1">
        <f>VLOOKUP(A42,'Special Edu'!$A$5:$Q$54,17,FALSE)</f>
        <v>640660.14614822692</v>
      </c>
      <c r="R42" s="1">
        <f>VLOOKUP(A42,CTE!$A$5:$R$54,18,FALSE)</f>
        <v>1607316.3847275386</v>
      </c>
      <c r="S42" s="1">
        <f t="shared" si="4"/>
        <v>1608509.3848667061</v>
      </c>
      <c r="T42" s="1">
        <f t="shared" si="22"/>
        <v>35086.140886000001</v>
      </c>
      <c r="U42" s="1">
        <f t="shared" si="23"/>
        <v>0</v>
      </c>
      <c r="V42" s="1">
        <f t="shared" si="24"/>
        <v>165515.42612302289</v>
      </c>
      <c r="W42" s="1">
        <f t="shared" si="5"/>
        <v>373957.66676684993</v>
      </c>
      <c r="X42" s="1">
        <f t="shared" si="6"/>
        <v>5810794.4186425786</v>
      </c>
      <c r="Y42" s="1">
        <f t="shared" si="7"/>
        <v>3627725.8000000003</v>
      </c>
      <c r="Z42" s="1">
        <f t="shared" si="8"/>
        <v>0</v>
      </c>
      <c r="AA42" s="1">
        <f>VLOOKUP(A42,'Detailed SFPR_Calc'!$A$5:$Q$54,17,FALSE)</f>
        <v>3715383.95</v>
      </c>
      <c r="AB42" s="1">
        <f>VLOOKUP(A42,'Detailed SFPR_Calc'!$A$5:$R$54,18,FALSE)</f>
        <v>106532.3</v>
      </c>
      <c r="AC42" s="1">
        <f t="shared" si="9"/>
        <v>3821916.25</v>
      </c>
      <c r="AD42" s="1">
        <f t="shared" si="10"/>
        <v>0</v>
      </c>
      <c r="AE42" s="1">
        <f t="shared" si="11"/>
        <v>5810794.4186425786</v>
      </c>
      <c r="AF42" s="9">
        <v>0</v>
      </c>
      <c r="AG42" s="9">
        <v>22040.29</v>
      </c>
      <c r="AH42" s="9">
        <v>35573.410000000003</v>
      </c>
      <c r="AI42" s="9">
        <v>-45679.519999999997</v>
      </c>
      <c r="AJ42" s="9">
        <f t="shared" si="12"/>
        <v>11934.180000000008</v>
      </c>
      <c r="AK42" s="9">
        <f t="shared" si="13"/>
        <v>5822728.5986425783</v>
      </c>
      <c r="AL42" s="9">
        <f t="shared" si="14"/>
        <v>0</v>
      </c>
      <c r="AM42" s="118">
        <f>VLOOKUP(A42,'Base Cost_Calc'!$A$7:$AY$56,51,FALSE)</f>
        <v>3.680825550881936E-2</v>
      </c>
      <c r="AN42" s="9">
        <f t="shared" si="15"/>
        <v>135992.84400443805</v>
      </c>
      <c r="AO42" s="37">
        <f t="shared" si="16"/>
        <v>0</v>
      </c>
      <c r="AP42" s="9">
        <f t="shared" si="17"/>
        <v>3694628.8848667061</v>
      </c>
      <c r="AQ42" s="9">
        <f t="shared" si="18"/>
        <v>557914.84612302284</v>
      </c>
      <c r="AR42" s="9">
        <f t="shared" si="19"/>
        <v>137885.09088599999</v>
      </c>
      <c r="AS42" s="9">
        <f t="shared" si="20"/>
        <v>0</v>
      </c>
      <c r="AT42" s="9">
        <f t="shared" si="21"/>
        <v>1420365.59676685</v>
      </c>
      <c r="AU42" s="9">
        <v>1986311223.267962</v>
      </c>
      <c r="AV42" s="9">
        <v>123186.84</v>
      </c>
    </row>
    <row r="43" spans="1:48" x14ac:dyDescent="0.25">
      <c r="A43" t="s">
        <v>177</v>
      </c>
      <c r="B43" t="s">
        <v>178</v>
      </c>
      <c r="C43" t="s">
        <v>239</v>
      </c>
      <c r="D43" s="1">
        <v>5743834.3700000001</v>
      </c>
      <c r="E43" s="1">
        <v>295081.5</v>
      </c>
      <c r="F43" s="1">
        <v>97204.1</v>
      </c>
      <c r="G43" s="1">
        <v>1387588.43</v>
      </c>
      <c r="H43" s="1">
        <v>1484792.53</v>
      </c>
      <c r="I43" s="1">
        <v>167130.06</v>
      </c>
      <c r="J43" s="1">
        <f t="shared" si="3"/>
        <v>5871785.8100000005</v>
      </c>
      <c r="K43" s="1">
        <v>0</v>
      </c>
      <c r="L43" s="1">
        <v>932821.82</v>
      </c>
      <c r="M43" s="1">
        <v>3454171.46</v>
      </c>
      <c r="N43" s="1">
        <f>VLOOKUP(A43,'State Share Base Cost'!$A$3:$G$52,7,FALSE)</f>
        <v>5479304.5654128622</v>
      </c>
      <c r="O43" s="1">
        <f>VLOOKUP(A43,DPIA!$A$5:$H$54,8,FALSE)</f>
        <v>211987.62</v>
      </c>
      <c r="P43" s="1">
        <f>VLOOKUP(A43,EL!$A$5:$L$54,12,FALSE)</f>
        <v>16597.951241763796</v>
      </c>
      <c r="Q43" s="1">
        <f>VLOOKUP(A43,'Special Edu'!$A$5:$Q$54,17,FALSE)</f>
        <v>955422.95226269471</v>
      </c>
      <c r="R43" s="1">
        <f>VLOOKUP(A43,CTE!$A$5:$R$54,18,FALSE)</f>
        <v>1962552.5044458448</v>
      </c>
      <c r="S43" s="1">
        <f t="shared" si="4"/>
        <v>1350156.2413787551</v>
      </c>
      <c r="T43" s="1">
        <f t="shared" si="22"/>
        <v>29906.535251999998</v>
      </c>
      <c r="U43" s="1">
        <f t="shared" si="23"/>
        <v>11065.854092883923</v>
      </c>
      <c r="V43" s="1">
        <f t="shared" si="24"/>
        <v>15068.174879538599</v>
      </c>
      <c r="W43" s="1">
        <f t="shared" si="5"/>
        <v>318522.57496304467</v>
      </c>
      <c r="X43" s="1">
        <f t="shared" si="6"/>
        <v>7763635.2505662218</v>
      </c>
      <c r="Y43" s="1">
        <f t="shared" si="7"/>
        <v>6038915.8700000001</v>
      </c>
      <c r="Z43" s="1">
        <f t="shared" si="8"/>
        <v>0</v>
      </c>
      <c r="AA43" s="1">
        <f>VLOOKUP(A43,'Detailed SFPR_Calc'!$A$5:$Q$54,17,FALSE)</f>
        <v>5968615.9400000004</v>
      </c>
      <c r="AB43" s="1">
        <f>VLOOKUP(A43,'Detailed SFPR_Calc'!$A$5:$R$54,18,FALSE)</f>
        <v>257093.59</v>
      </c>
      <c r="AC43" s="1">
        <f t="shared" si="9"/>
        <v>6225709.5300000003</v>
      </c>
      <c r="AD43" s="1">
        <f t="shared" si="10"/>
        <v>0</v>
      </c>
      <c r="AE43" s="1">
        <f t="shared" si="11"/>
        <v>7763635.2505662218</v>
      </c>
      <c r="AF43" s="9">
        <v>0</v>
      </c>
      <c r="AG43" s="9">
        <v>43565.94</v>
      </c>
      <c r="AH43" s="9">
        <v>69123.460000000006</v>
      </c>
      <c r="AI43" s="9">
        <v>-92887.72</v>
      </c>
      <c r="AJ43" s="9">
        <f t="shared" si="12"/>
        <v>19801.680000000008</v>
      </c>
      <c r="AK43" s="9">
        <f t="shared" si="13"/>
        <v>7783436.9305662215</v>
      </c>
      <c r="AL43" s="9">
        <f t="shared" si="14"/>
        <v>0</v>
      </c>
      <c r="AM43" s="118">
        <f>VLOOKUP(A43,'Base Cost_Calc'!$A$7:$AY$56,51,FALSE)</f>
        <v>3.9295212214368984E-2</v>
      </c>
      <c r="AN43" s="9">
        <f t="shared" si="15"/>
        <v>188787.07657304974</v>
      </c>
      <c r="AO43" s="37">
        <f t="shared" si="16"/>
        <v>0</v>
      </c>
      <c r="AP43" s="9">
        <f t="shared" si="17"/>
        <v>4804327.7013787553</v>
      </c>
      <c r="AQ43" s="9">
        <f t="shared" si="18"/>
        <v>947889.99487953854</v>
      </c>
      <c r="AR43" s="9">
        <f t="shared" si="19"/>
        <v>197036.595252</v>
      </c>
      <c r="AS43" s="9">
        <f t="shared" si="20"/>
        <v>11065.854092883923</v>
      </c>
      <c r="AT43" s="9">
        <f t="shared" si="21"/>
        <v>1803315.1049630446</v>
      </c>
      <c r="AU43" s="9">
        <v>3648999405.9287972</v>
      </c>
      <c r="AV43" s="9">
        <v>175153.05</v>
      </c>
    </row>
    <row r="44" spans="1:48" x14ac:dyDescent="0.25">
      <c r="A44" t="s">
        <v>179</v>
      </c>
      <c r="B44" t="s">
        <v>180</v>
      </c>
      <c r="C44" t="s">
        <v>240</v>
      </c>
      <c r="D44" s="1">
        <v>3884187.93</v>
      </c>
      <c r="E44" s="1">
        <v>455204.38</v>
      </c>
      <c r="F44" s="1">
        <v>128860.18</v>
      </c>
      <c r="G44" s="1">
        <v>921086.18</v>
      </c>
      <c r="H44" s="1">
        <v>1049946.3600000001</v>
      </c>
      <c r="I44" s="1">
        <v>50765.27</v>
      </c>
      <c r="J44" s="1">
        <f t="shared" si="3"/>
        <v>4288627.040000001</v>
      </c>
      <c r="K44" s="1">
        <v>0</v>
      </c>
      <c r="L44" s="1">
        <v>651793.01</v>
      </c>
      <c r="M44" s="1">
        <v>2586887.67</v>
      </c>
      <c r="N44" s="1">
        <f>VLOOKUP(A44,'State Share Base Cost'!$A$3:$G$52,7,FALSE)</f>
        <v>6500850.8431216124</v>
      </c>
      <c r="O44" s="1">
        <f>VLOOKUP(A44,DPIA!$A$5:$H$54,8,FALSE)</f>
        <v>159713.68</v>
      </c>
      <c r="P44" s="1">
        <f>VLOOKUP(A44,EL!$A$5:$L$54,12,FALSE)</f>
        <v>0</v>
      </c>
      <c r="Q44" s="1">
        <f>VLOOKUP(A44,'Special Edu'!$A$5:$Q$54,17,FALSE)</f>
        <v>853970.89912625041</v>
      </c>
      <c r="R44" s="1">
        <f>VLOOKUP(A44,CTE!$A$5:$R$54,18,FALSE)</f>
        <v>2002048.0834300863</v>
      </c>
      <c r="S44" s="1">
        <f t="shared" si="4"/>
        <v>2609439.247520179</v>
      </c>
      <c r="T44" s="1">
        <f t="shared" si="22"/>
        <v>72635.904947000003</v>
      </c>
      <c r="U44" s="1">
        <f t="shared" si="23"/>
        <v>0</v>
      </c>
      <c r="V44" s="1">
        <f t="shared" si="24"/>
        <v>134791.99868047112</v>
      </c>
      <c r="W44" s="1">
        <f t="shared" si="5"/>
        <v>634766.21901083842</v>
      </c>
      <c r="X44" s="1">
        <f t="shared" si="6"/>
        <v>7791025.6801584885</v>
      </c>
      <c r="Y44" s="1">
        <f t="shared" si="7"/>
        <v>4339392.3100000005</v>
      </c>
      <c r="Z44" s="1">
        <f t="shared" si="8"/>
        <v>0</v>
      </c>
      <c r="AA44" s="1">
        <f>VLOOKUP(A44,'Detailed SFPR_Calc'!$A$5:$Q$54,17,FALSE)</f>
        <v>4029473.46</v>
      </c>
      <c r="AB44" s="1">
        <f>VLOOKUP(A44,'Detailed SFPR_Calc'!$A$5:$R$54,18,FALSE)</f>
        <v>449009.84</v>
      </c>
      <c r="AC44" s="1">
        <f t="shared" si="9"/>
        <v>4478483.3</v>
      </c>
      <c r="AD44" s="1">
        <f t="shared" si="10"/>
        <v>0</v>
      </c>
      <c r="AE44" s="1">
        <f t="shared" si="11"/>
        <v>7791025.6801584885</v>
      </c>
      <c r="AF44" s="9">
        <v>0</v>
      </c>
      <c r="AG44" s="9">
        <v>5289.72</v>
      </c>
      <c r="AH44" s="9">
        <v>46030.080000000002</v>
      </c>
      <c r="AI44" s="9">
        <v>523237.58</v>
      </c>
      <c r="AJ44" s="9">
        <f t="shared" si="12"/>
        <v>574557.38</v>
      </c>
      <c r="AK44" s="9">
        <f t="shared" si="13"/>
        <v>8365583.0601584883</v>
      </c>
      <c r="AL44" s="9">
        <f t="shared" si="14"/>
        <v>0</v>
      </c>
      <c r="AM44" s="118">
        <f>VLOOKUP(A44,'Base Cost_Calc'!$A$7:$AY$56,51,FALSE)</f>
        <v>4.0416598626409284E-2</v>
      </c>
      <c r="AN44" s="9">
        <f t="shared" si="15"/>
        <v>210017.85935701962</v>
      </c>
      <c r="AO44" s="37">
        <f t="shared" si="16"/>
        <v>0</v>
      </c>
      <c r="AP44" s="9">
        <f t="shared" si="17"/>
        <v>5196326.9175201785</v>
      </c>
      <c r="AQ44" s="9">
        <f t="shared" si="18"/>
        <v>786585.0086804711</v>
      </c>
      <c r="AR44" s="9">
        <f t="shared" si="19"/>
        <v>123401.17494699999</v>
      </c>
      <c r="AS44" s="9">
        <f t="shared" si="20"/>
        <v>0</v>
      </c>
      <c r="AT44" s="9">
        <f t="shared" si="21"/>
        <v>1684712.5790108386</v>
      </c>
      <c r="AU44" s="9">
        <v>2112876692.9524472</v>
      </c>
      <c r="AV44" s="9">
        <v>170200.86</v>
      </c>
    </row>
    <row r="45" spans="1:48" x14ac:dyDescent="0.25">
      <c r="A45" t="s">
        <v>181</v>
      </c>
      <c r="B45" t="s">
        <v>182</v>
      </c>
      <c r="C45" t="s">
        <v>241</v>
      </c>
      <c r="D45" s="1">
        <v>2626756.5699999998</v>
      </c>
      <c r="E45" s="1">
        <v>273212.3</v>
      </c>
      <c r="F45" s="1">
        <v>91468.5</v>
      </c>
      <c r="G45" s="1">
        <v>735077.27</v>
      </c>
      <c r="H45" s="1">
        <v>826545.77</v>
      </c>
      <c r="I45" s="1">
        <v>20506.36</v>
      </c>
      <c r="J45" s="1">
        <f t="shared" si="3"/>
        <v>2879462.51</v>
      </c>
      <c r="K45" s="1">
        <v>0</v>
      </c>
      <c r="L45" s="1">
        <v>297680.25</v>
      </c>
      <c r="M45" s="1">
        <v>1755236.49</v>
      </c>
      <c r="N45" s="1">
        <f>VLOOKUP(A45,'State Share Base Cost'!$A$3:$G$52,7,FALSE)</f>
        <v>4354701.3467084626</v>
      </c>
      <c r="O45" s="1">
        <f>VLOOKUP(A45,DPIA!$A$5:$H$54,8,FALSE)</f>
        <v>32765.72</v>
      </c>
      <c r="P45" s="1">
        <f>VLOOKUP(A45,EL!$A$5:$L$54,12,FALSE)</f>
        <v>0</v>
      </c>
      <c r="Q45" s="1">
        <f>VLOOKUP(A45,'Special Edu'!$A$5:$Q$54,17,FALSE)</f>
        <v>515757.39</v>
      </c>
      <c r="R45" s="1">
        <f>VLOOKUP(A45,CTE!$A$5:$R$54,18,FALSE)</f>
        <v>1362116.0883226369</v>
      </c>
      <c r="S45" s="1">
        <f t="shared" si="4"/>
        <v>1733063.2199675317</v>
      </c>
      <c r="T45" s="1">
        <f t="shared" si="22"/>
        <v>8173.3153119999997</v>
      </c>
      <c r="U45" s="1">
        <f t="shared" si="23"/>
        <v>0</v>
      </c>
      <c r="V45" s="1">
        <f t="shared" si="24"/>
        <v>145392.02923799999</v>
      </c>
      <c r="W45" s="1">
        <f t="shared" si="5"/>
        <v>357064.73122570198</v>
      </c>
      <c r="X45" s="1">
        <f t="shared" si="6"/>
        <v>5143662.1657432336</v>
      </c>
      <c r="Y45" s="1">
        <f t="shared" si="7"/>
        <v>2899968.8699999996</v>
      </c>
      <c r="Z45" s="1">
        <f t="shared" si="8"/>
        <v>0</v>
      </c>
      <c r="AA45" s="1">
        <f>VLOOKUP(A45,'Detailed SFPR_Calc'!$A$5:$Q$54,17,FALSE)</f>
        <v>2766702.4</v>
      </c>
      <c r="AB45" s="1">
        <f>VLOOKUP(A45,'Detailed SFPR_Calc'!$A$5:$R$54,18,FALSE)</f>
        <v>357174.25</v>
      </c>
      <c r="AC45" s="1">
        <f t="shared" si="9"/>
        <v>3123876.65</v>
      </c>
      <c r="AD45" s="1">
        <f t="shared" si="10"/>
        <v>0</v>
      </c>
      <c r="AE45" s="1">
        <f t="shared" si="11"/>
        <v>5143662.1657432336</v>
      </c>
      <c r="AF45" s="9">
        <v>0</v>
      </c>
      <c r="AG45" s="9">
        <v>12704.46</v>
      </c>
      <c r="AH45" s="9">
        <v>36434.129999999997</v>
      </c>
      <c r="AI45" s="9">
        <v>-35224.1</v>
      </c>
      <c r="AJ45" s="9">
        <f t="shared" si="12"/>
        <v>13914.489999999998</v>
      </c>
      <c r="AK45" s="9">
        <f t="shared" si="13"/>
        <v>5157576.6557432339</v>
      </c>
      <c r="AL45" s="9">
        <f t="shared" si="14"/>
        <v>0</v>
      </c>
      <c r="AM45" s="118">
        <f>VLOOKUP(A45,'Base Cost_Calc'!$A$7:$AY$56,51,FALSE)</f>
        <v>3.7070341332737899E-2</v>
      </c>
      <c r="AN45" s="9">
        <f t="shared" si="15"/>
        <v>129312.46091938701</v>
      </c>
      <c r="AO45" s="37">
        <f t="shared" si="16"/>
        <v>0</v>
      </c>
      <c r="AP45" s="9">
        <f t="shared" si="17"/>
        <v>3488299.7099675317</v>
      </c>
      <c r="AQ45" s="9">
        <f t="shared" si="18"/>
        <v>443072.27923799999</v>
      </c>
      <c r="AR45" s="9">
        <f t="shared" si="19"/>
        <v>28679.675311999999</v>
      </c>
      <c r="AS45" s="9">
        <f t="shared" si="20"/>
        <v>0</v>
      </c>
      <c r="AT45" s="9">
        <f t="shared" si="21"/>
        <v>1183610.501225702</v>
      </c>
      <c r="AU45" s="9">
        <v>2200997790.3771491</v>
      </c>
      <c r="AV45" s="9">
        <v>106732.04</v>
      </c>
    </row>
    <row r="46" spans="1:48" x14ac:dyDescent="0.25">
      <c r="A46" t="s">
        <v>183</v>
      </c>
      <c r="B46" t="s">
        <v>184</v>
      </c>
      <c r="C46" t="s">
        <v>242</v>
      </c>
      <c r="D46" s="1">
        <v>7126560.2000000002</v>
      </c>
      <c r="E46" s="1">
        <v>58456.84</v>
      </c>
      <c r="F46" s="1">
        <v>21975.64</v>
      </c>
      <c r="G46" s="1">
        <v>1913338.24</v>
      </c>
      <c r="H46" s="1">
        <v>1935313.88</v>
      </c>
      <c r="I46" s="1">
        <v>736059.72</v>
      </c>
      <c r="J46" s="1">
        <f t="shared" si="3"/>
        <v>6448957.3200000003</v>
      </c>
      <c r="K46" s="1">
        <v>0</v>
      </c>
      <c r="L46" s="1">
        <v>1190026.0900000001</v>
      </c>
      <c r="M46" s="1">
        <v>3323617.35</v>
      </c>
      <c r="N46" s="1">
        <f>VLOOKUP(A46,'State Share Base Cost'!$A$3:$G$52,7,FALSE)</f>
        <v>5971343.2097231681</v>
      </c>
      <c r="O46" s="1">
        <f>VLOOKUP(A46,DPIA!$A$5:$H$54,8,FALSE)</f>
        <v>1031869.54</v>
      </c>
      <c r="P46" s="1">
        <f>VLOOKUP(A46,EL!$A$5:$L$54,12,FALSE)</f>
        <v>0</v>
      </c>
      <c r="Q46" s="1">
        <f>VLOOKUP(A46,'Special Edu'!$A$5:$Q$54,17,FALSE)</f>
        <v>1120810.6094009841</v>
      </c>
      <c r="R46" s="1">
        <f>VLOOKUP(A46,CTE!$A$5:$R$54,18,FALSE)</f>
        <v>2028217.6414043249</v>
      </c>
      <c r="S46" s="1">
        <f t="shared" si="4"/>
        <v>1765238.830677436</v>
      </c>
      <c r="T46" s="1">
        <f t="shared" si="22"/>
        <v>197216.40699400002</v>
      </c>
      <c r="U46" s="1">
        <f t="shared" si="23"/>
        <v>0</v>
      </c>
      <c r="V46" s="1">
        <f t="shared" si="24"/>
        <v>-46145.960915363932</v>
      </c>
      <c r="W46" s="1">
        <f t="shared" si="5"/>
        <v>61938.937728263489</v>
      </c>
      <c r="X46" s="1">
        <f t="shared" si="6"/>
        <v>9163265.2544843368</v>
      </c>
      <c r="Y46" s="1">
        <f t="shared" si="7"/>
        <v>7185017.04</v>
      </c>
      <c r="Z46" s="1">
        <f t="shared" si="8"/>
        <v>0</v>
      </c>
      <c r="AA46" s="1">
        <f>VLOOKUP(A46,'Detailed SFPR_Calc'!$A$5:$Q$54,17,FALSE)</f>
        <v>7467405.1399999997</v>
      </c>
      <c r="AB46" s="1">
        <f>VLOOKUP(A46,'Detailed SFPR_Calc'!$A$5:$R$54,18,FALSE)</f>
        <v>78677.34</v>
      </c>
      <c r="AC46" s="1">
        <f t="shared" si="9"/>
        <v>7546082.4799999995</v>
      </c>
      <c r="AD46" s="1">
        <f t="shared" si="10"/>
        <v>0</v>
      </c>
      <c r="AE46" s="1">
        <f t="shared" si="11"/>
        <v>9163265.2544843368</v>
      </c>
      <c r="AF46" s="9">
        <v>0</v>
      </c>
      <c r="AG46" s="9">
        <v>17086.47</v>
      </c>
      <c r="AH46" s="9">
        <v>49527.93</v>
      </c>
      <c r="AI46" s="9">
        <v>-112761.94</v>
      </c>
      <c r="AJ46" s="9">
        <f t="shared" si="12"/>
        <v>-46147.540000000008</v>
      </c>
      <c r="AK46" s="9">
        <f t="shared" si="13"/>
        <v>9117117.7144843377</v>
      </c>
      <c r="AL46" s="9">
        <f t="shared" si="14"/>
        <v>0</v>
      </c>
      <c r="AM46" s="118">
        <f>VLOOKUP(A46,'Base Cost_Calc'!$A$7:$AY$56,51,FALSE)</f>
        <v>4.0017624309518517E-2</v>
      </c>
      <c r="AN46" s="9">
        <f t="shared" si="15"/>
        <v>203643.93480352094</v>
      </c>
      <c r="AO46" s="37">
        <f t="shared" si="16"/>
        <v>0</v>
      </c>
      <c r="AP46" s="9">
        <f t="shared" si="17"/>
        <v>5088856.1806774363</v>
      </c>
      <c r="AQ46" s="9">
        <f t="shared" si="18"/>
        <v>1143880.1290846362</v>
      </c>
      <c r="AR46" s="9">
        <f t="shared" si="19"/>
        <v>933276.12699400005</v>
      </c>
      <c r="AS46" s="9">
        <f t="shared" si="20"/>
        <v>0</v>
      </c>
      <c r="AT46" s="9">
        <f t="shared" si="21"/>
        <v>1997252.8177282633</v>
      </c>
      <c r="AU46" s="9">
        <v>2077038231.2139444</v>
      </c>
      <c r="AV46" s="9">
        <v>175390.23</v>
      </c>
    </row>
    <row r="47" spans="1:48" x14ac:dyDescent="0.25">
      <c r="A47" t="s">
        <v>185</v>
      </c>
      <c r="B47" t="s">
        <v>186</v>
      </c>
      <c r="C47" t="s">
        <v>243</v>
      </c>
      <c r="D47" s="1">
        <v>7125441.75</v>
      </c>
      <c r="E47" s="1">
        <v>164943.38</v>
      </c>
      <c r="F47" s="1">
        <v>49539.98</v>
      </c>
      <c r="G47" s="1">
        <v>2078801.64</v>
      </c>
      <c r="H47" s="1">
        <v>2128341.62</v>
      </c>
      <c r="I47" s="1">
        <v>558.24</v>
      </c>
      <c r="J47" s="1">
        <f t="shared" si="3"/>
        <v>7289826.8899999997</v>
      </c>
      <c r="K47" s="1">
        <v>751.72</v>
      </c>
      <c r="L47" s="1">
        <v>705671.5</v>
      </c>
      <c r="M47" s="1">
        <v>4455062.05</v>
      </c>
      <c r="N47" s="1">
        <f>VLOOKUP(A47,'State Share Base Cost'!$A$3:$G$52,7,FALSE)</f>
        <v>7482664.4242485277</v>
      </c>
      <c r="O47" s="1">
        <f>VLOOKUP(A47,DPIA!$A$5:$H$54,8,FALSE)</f>
        <v>433.92</v>
      </c>
      <c r="P47" s="1">
        <f>VLOOKUP(A47,EL!$A$5:$L$54,12,FALSE)</f>
        <v>1370.8869297548977</v>
      </c>
      <c r="Q47" s="1">
        <f>VLOOKUP(A47,'Special Edu'!$A$5:$Q$54,17,FALSE)</f>
        <v>940874.56203411694</v>
      </c>
      <c r="R47" s="1">
        <f>VLOOKUP(A47,CTE!$A$5:$R$54,18,FALSE)</f>
        <v>1865140.9065150842</v>
      </c>
      <c r="S47" s="1">
        <f t="shared" si="4"/>
        <v>2018502.5029114934</v>
      </c>
      <c r="T47" s="1">
        <f t="shared" si="22"/>
        <v>-82.884143999999992</v>
      </c>
      <c r="U47" s="1">
        <f t="shared" si="23"/>
        <v>412.79859206759022</v>
      </c>
      <c r="V47" s="1">
        <f t="shared" si="24"/>
        <v>156809.88145814574</v>
      </c>
      <c r="W47" s="1">
        <f t="shared" si="5"/>
        <v>-175475.91568039343</v>
      </c>
      <c r="X47" s="1">
        <f t="shared" si="6"/>
        <v>9290551.5131373145</v>
      </c>
      <c r="Y47" s="1">
        <f t="shared" si="7"/>
        <v>7290385.1299999999</v>
      </c>
      <c r="Z47" s="1">
        <f t="shared" si="8"/>
        <v>0</v>
      </c>
      <c r="AA47" s="1">
        <f>VLOOKUP(A47,'Detailed SFPR_Calc'!$A$5:$Q$54,17,FALSE)</f>
        <v>7227084.0599999996</v>
      </c>
      <c r="AB47" s="1">
        <f>VLOOKUP(A47,'Detailed SFPR_Calc'!$A$5:$R$54,18,FALSE)</f>
        <v>133806.1</v>
      </c>
      <c r="AC47" s="1">
        <f t="shared" si="9"/>
        <v>7360890.1599999992</v>
      </c>
      <c r="AD47" s="1">
        <f t="shared" si="10"/>
        <v>0</v>
      </c>
      <c r="AE47" s="1">
        <f t="shared" si="11"/>
        <v>9290551.5131373145</v>
      </c>
      <c r="AF47" s="9">
        <v>0</v>
      </c>
      <c r="AG47" s="9">
        <v>2379.6</v>
      </c>
      <c r="AH47" s="9">
        <v>101358</v>
      </c>
      <c r="AI47" s="9">
        <v>-77339.570000000007</v>
      </c>
      <c r="AJ47" s="9">
        <f t="shared" si="12"/>
        <v>26398.03</v>
      </c>
      <c r="AK47" s="9">
        <f t="shared" si="13"/>
        <v>9316949.5431373138</v>
      </c>
      <c r="AL47" s="9">
        <f t="shared" si="14"/>
        <v>0</v>
      </c>
      <c r="AM47" s="118">
        <f>VLOOKUP(A47,'Base Cost_Calc'!$A$7:$AY$56,51,FALSE)</f>
        <v>4.3004320236404235E-2</v>
      </c>
      <c r="AN47" s="9">
        <f t="shared" si="15"/>
        <v>278391.24310444086</v>
      </c>
      <c r="AO47" s="37">
        <f t="shared" si="16"/>
        <v>0</v>
      </c>
      <c r="AP47" s="9">
        <f t="shared" si="17"/>
        <v>6473564.552911493</v>
      </c>
      <c r="AQ47" s="9">
        <f t="shared" si="18"/>
        <v>862481.3814581458</v>
      </c>
      <c r="AR47" s="9">
        <f t="shared" si="19"/>
        <v>475.35585600000002</v>
      </c>
      <c r="AS47" s="9">
        <f t="shared" si="20"/>
        <v>1164.5185920675904</v>
      </c>
      <c r="AT47" s="9">
        <f t="shared" si="21"/>
        <v>1952865.7043196068</v>
      </c>
      <c r="AU47" s="9">
        <v>6866762669.2327061</v>
      </c>
      <c r="AV47" s="9">
        <v>254457.44</v>
      </c>
    </row>
    <row r="48" spans="1:48" x14ac:dyDescent="0.25">
      <c r="A48" t="s">
        <v>187</v>
      </c>
      <c r="B48" t="s">
        <v>188</v>
      </c>
      <c r="C48" t="s">
        <v>244</v>
      </c>
      <c r="D48" s="1">
        <v>10013461.960000001</v>
      </c>
      <c r="E48" s="1">
        <v>739075.25</v>
      </c>
      <c r="F48" s="1">
        <v>251816.45</v>
      </c>
      <c r="G48" s="1">
        <v>3238139.61</v>
      </c>
      <c r="H48" s="1">
        <v>3489956.06</v>
      </c>
      <c r="I48" s="1">
        <v>77656.12</v>
      </c>
      <c r="J48" s="1">
        <f t="shared" si="3"/>
        <v>10674881.090000002</v>
      </c>
      <c r="K48" s="1">
        <v>867.61</v>
      </c>
      <c r="L48" s="1">
        <v>1371228.94</v>
      </c>
      <c r="M48" s="1">
        <v>5812828.4800000004</v>
      </c>
      <c r="N48" s="1">
        <f>VLOOKUP(A48,'State Share Base Cost'!$A$3:$G$52,7,FALSE)</f>
        <v>11875073.145570688</v>
      </c>
      <c r="O48" s="1">
        <f>VLOOKUP(A48,DPIA!$A$5:$H$54,8,FALSE)</f>
        <v>145888.18</v>
      </c>
      <c r="P48" s="1">
        <f>VLOOKUP(A48,EL!$A$5:$L$54,12,FALSE)</f>
        <v>5502.1000131639321</v>
      </c>
      <c r="Q48" s="1">
        <f>VLOOKUP(A48,'Special Edu'!$A$5:$Q$54,17,FALSE)</f>
        <v>1947823.3504812517</v>
      </c>
      <c r="R48" s="1">
        <f>VLOOKUP(A48,CTE!$A$5:$R$54,18,FALSE)</f>
        <v>4425313.5814597942</v>
      </c>
      <c r="S48" s="1">
        <f t="shared" si="4"/>
        <v>4041698.5185359772</v>
      </c>
      <c r="T48" s="1">
        <f t="shared" si="22"/>
        <v>45490.314401999996</v>
      </c>
      <c r="U48" s="1">
        <f t="shared" si="23"/>
        <v>3089.8144917763934</v>
      </c>
      <c r="V48" s="1">
        <f t="shared" si="24"/>
        <v>384415.49346785055</v>
      </c>
      <c r="W48" s="1">
        <f t="shared" si="5"/>
        <v>623602.85955724469</v>
      </c>
      <c r="X48" s="1">
        <f t="shared" si="6"/>
        <v>15850834.210454848</v>
      </c>
      <c r="Y48" s="1">
        <f t="shared" si="7"/>
        <v>10752537.210000001</v>
      </c>
      <c r="Z48" s="1">
        <f t="shared" si="8"/>
        <v>0</v>
      </c>
      <c r="AA48" s="1">
        <f>VLOOKUP(A48,'Detailed SFPR_Calc'!$A$5:$Q$54,17,FALSE)</f>
        <v>10368243.220000001</v>
      </c>
      <c r="AB48" s="1">
        <f>VLOOKUP(A48,'Detailed SFPR_Calc'!$A$5:$R$54,18,FALSE)</f>
        <v>660145.27</v>
      </c>
      <c r="AC48" s="1">
        <f t="shared" si="9"/>
        <v>11028388.49</v>
      </c>
      <c r="AD48" s="1">
        <f t="shared" si="10"/>
        <v>0</v>
      </c>
      <c r="AE48" s="1">
        <f t="shared" si="11"/>
        <v>15850834.210454848</v>
      </c>
      <c r="AF48" s="9">
        <v>0</v>
      </c>
      <c r="AG48" s="9">
        <v>17170.96</v>
      </c>
      <c r="AH48" s="9">
        <v>81429.179999999993</v>
      </c>
      <c r="AI48" s="9">
        <v>-150960.70000000001</v>
      </c>
      <c r="AJ48" s="9">
        <f t="shared" si="12"/>
        <v>-52360.560000000027</v>
      </c>
      <c r="AK48" s="9">
        <f t="shared" si="13"/>
        <v>15798473.650454847</v>
      </c>
      <c r="AL48" s="9">
        <f t="shared" si="14"/>
        <v>0</v>
      </c>
      <c r="AM48" s="118">
        <f>VLOOKUP(A48,'Base Cost_Calc'!$A$7:$AY$56,51,FALSE)</f>
        <v>4.1761398817594303E-2</v>
      </c>
      <c r="AN48" s="9">
        <f t="shared" si="15"/>
        <v>411538.83214461152</v>
      </c>
      <c r="AO48" s="37">
        <f t="shared" si="16"/>
        <v>0</v>
      </c>
      <c r="AP48" s="9">
        <f t="shared" si="17"/>
        <v>9854526.9985359777</v>
      </c>
      <c r="AQ48" s="9">
        <f t="shared" si="18"/>
        <v>1755644.4334678506</v>
      </c>
      <c r="AR48" s="9">
        <f t="shared" si="19"/>
        <v>123146.43440199998</v>
      </c>
      <c r="AS48" s="9">
        <f t="shared" si="20"/>
        <v>3957.4244917763936</v>
      </c>
      <c r="AT48" s="9">
        <f t="shared" si="21"/>
        <v>4113558.9195572445</v>
      </c>
      <c r="AU48" s="9">
        <v>3223512228.8593645</v>
      </c>
      <c r="AV48" s="9">
        <v>355394.21</v>
      </c>
    </row>
    <row r="49" spans="1:48" x14ac:dyDescent="0.25">
      <c r="A49" t="s">
        <v>189</v>
      </c>
      <c r="B49" t="s">
        <v>190</v>
      </c>
      <c r="C49" t="s">
        <v>245</v>
      </c>
      <c r="D49" s="1">
        <v>2545953.7599999998</v>
      </c>
      <c r="E49" s="1">
        <v>398380.68</v>
      </c>
      <c r="F49" s="1">
        <v>127540.88</v>
      </c>
      <c r="G49" s="1">
        <v>713943.79</v>
      </c>
      <c r="H49" s="1">
        <v>841484.67</v>
      </c>
      <c r="I49" s="1">
        <v>60585.27</v>
      </c>
      <c r="J49" s="1">
        <f t="shared" si="3"/>
        <v>2883749.17</v>
      </c>
      <c r="K49" s="1">
        <v>0</v>
      </c>
      <c r="L49" s="1">
        <v>276707.32</v>
      </c>
      <c r="M49" s="1">
        <v>1765557.18</v>
      </c>
      <c r="N49" s="1">
        <f>VLOOKUP(A49,'State Share Base Cost'!$A$3:$G$52,7,FALSE)</f>
        <v>4648992.6926282868</v>
      </c>
      <c r="O49" s="1">
        <f>VLOOKUP(A49,DPIA!$A$5:$H$54,8,FALSE)</f>
        <v>119332.33</v>
      </c>
      <c r="P49" s="1">
        <f>VLOOKUP(A49,EL!$A$5:$L$54,12,FALSE)</f>
        <v>0</v>
      </c>
      <c r="Q49" s="1">
        <f>VLOOKUP(A49,'Special Edu'!$A$5:$Q$54,17,FALSE)</f>
        <v>648698.27999999991</v>
      </c>
      <c r="R49" s="1">
        <f>VLOOKUP(A49,CTE!$A$5:$R$54,18,FALSE)</f>
        <v>1480333.8486981515</v>
      </c>
      <c r="S49" s="1">
        <f t="shared" si="4"/>
        <v>1922386.4562692789</v>
      </c>
      <c r="T49" s="1">
        <f t="shared" si="22"/>
        <v>39166.664902000004</v>
      </c>
      <c r="U49" s="1">
        <f t="shared" si="23"/>
        <v>0</v>
      </c>
      <c r="V49" s="1">
        <f t="shared" si="24"/>
        <v>248006.37303199992</v>
      </c>
      <c r="W49" s="1">
        <f t="shared" si="5"/>
        <v>425920.74743805756</v>
      </c>
      <c r="X49" s="1">
        <f t="shared" si="6"/>
        <v>5579814.6816413365</v>
      </c>
      <c r="Y49" s="1">
        <f t="shared" si="7"/>
        <v>2944334.44</v>
      </c>
      <c r="Z49" s="1">
        <f t="shared" si="8"/>
        <v>0</v>
      </c>
      <c r="AA49" s="1">
        <f>VLOOKUP(A49,'Detailed SFPR_Calc'!$A$5:$Q$54,17,FALSE)</f>
        <v>2625489.83</v>
      </c>
      <c r="AB49" s="1">
        <f>VLOOKUP(A49,'Detailed SFPR_Calc'!$A$5:$R$54,18,FALSE)</f>
        <v>458356.31</v>
      </c>
      <c r="AC49" s="1">
        <f t="shared" si="9"/>
        <v>3083846.14</v>
      </c>
      <c r="AD49" s="1">
        <f t="shared" si="10"/>
        <v>0</v>
      </c>
      <c r="AE49" s="1">
        <f t="shared" si="11"/>
        <v>5579814.6816413365</v>
      </c>
      <c r="AF49" s="9">
        <v>0</v>
      </c>
      <c r="AG49" s="9">
        <v>5749.21</v>
      </c>
      <c r="AH49" s="9">
        <v>24540.69</v>
      </c>
      <c r="AI49" s="9">
        <v>64237.58</v>
      </c>
      <c r="AJ49" s="9">
        <f t="shared" si="12"/>
        <v>94527.48</v>
      </c>
      <c r="AK49" s="9">
        <f t="shared" si="13"/>
        <v>5674342.161641337</v>
      </c>
      <c r="AL49" s="9">
        <f t="shared" si="14"/>
        <v>0</v>
      </c>
      <c r="AM49" s="118">
        <f>VLOOKUP(A49,'Base Cost_Calc'!$A$7:$AY$56,51,FALSE)</f>
        <v>3.5977812085296983E-2</v>
      </c>
      <c r="AN49" s="9">
        <f t="shared" si="15"/>
        <v>132684.14312686297</v>
      </c>
      <c r="AO49" s="37">
        <f t="shared" si="16"/>
        <v>0</v>
      </c>
      <c r="AP49" s="9">
        <f t="shared" si="17"/>
        <v>3687943.6362692788</v>
      </c>
      <c r="AQ49" s="9">
        <f t="shared" si="18"/>
        <v>524713.69303199998</v>
      </c>
      <c r="AR49" s="9">
        <f t="shared" si="19"/>
        <v>99751.934902000008</v>
      </c>
      <c r="AS49" s="9">
        <f t="shared" si="20"/>
        <v>0</v>
      </c>
      <c r="AT49" s="9">
        <f t="shared" si="21"/>
        <v>1267405.4174380577</v>
      </c>
      <c r="AU49" s="9">
        <v>1054000381.0086244</v>
      </c>
      <c r="AV49" s="9">
        <v>104463.03</v>
      </c>
    </row>
    <row r="50" spans="1:48" x14ac:dyDescent="0.25">
      <c r="A50" t="s">
        <v>191</v>
      </c>
      <c r="B50" t="s">
        <v>192</v>
      </c>
      <c r="C50" t="s">
        <v>246</v>
      </c>
      <c r="D50" s="1">
        <v>2130163.17</v>
      </c>
      <c r="E50" s="1">
        <v>552270.32999999996</v>
      </c>
      <c r="F50" s="1">
        <v>200160.53</v>
      </c>
      <c r="G50" s="1">
        <v>522508.24</v>
      </c>
      <c r="H50" s="1">
        <v>722668.77</v>
      </c>
      <c r="I50" s="1">
        <v>14552.33</v>
      </c>
      <c r="J50" s="1">
        <f t="shared" si="3"/>
        <v>2667881.17</v>
      </c>
      <c r="K50" s="1">
        <v>0</v>
      </c>
      <c r="L50" s="1">
        <v>149364.73000000001</v>
      </c>
      <c r="M50" s="1">
        <v>1795847.67</v>
      </c>
      <c r="N50" s="1">
        <f>VLOOKUP(A50,'State Share Base Cost'!$A$3:$G$52,7,FALSE)</f>
        <v>2899629.3476376468</v>
      </c>
      <c r="O50" s="1">
        <f>VLOOKUP(A50,DPIA!$A$5:$H$54,8,FALSE)</f>
        <v>34319.82</v>
      </c>
      <c r="P50" s="1">
        <f>VLOOKUP(A50,EL!$A$5:$L$54,12,FALSE)</f>
        <v>312.60645957567749</v>
      </c>
      <c r="Q50" s="1">
        <f>VLOOKUP(A50,'Special Edu'!$A$5:$Q$54,17,FALSE)</f>
        <v>281813.69</v>
      </c>
      <c r="R50" s="1">
        <f>VLOOKUP(A50,CTE!$A$5:$R$54,18,FALSE)</f>
        <v>1186360.2024027656</v>
      </c>
      <c r="S50" s="1">
        <f t="shared" si="4"/>
        <v>735891.24448101909</v>
      </c>
      <c r="T50" s="1">
        <f t="shared" si="22"/>
        <v>13178.985582999998</v>
      </c>
      <c r="U50" s="1">
        <f t="shared" si="23"/>
        <v>208.41472659910417</v>
      </c>
      <c r="V50" s="1">
        <f t="shared" si="24"/>
        <v>88303.721631999986</v>
      </c>
      <c r="W50" s="1">
        <f t="shared" si="5"/>
        <v>309143.07798292383</v>
      </c>
      <c r="X50" s="1">
        <f t="shared" si="6"/>
        <v>3829158.9444055422</v>
      </c>
      <c r="Y50" s="1">
        <f t="shared" si="7"/>
        <v>2682433.5</v>
      </c>
      <c r="Z50" s="1">
        <f t="shared" si="8"/>
        <v>0</v>
      </c>
      <c r="AA50" s="1">
        <f>VLOOKUP(A50,'Detailed SFPR_Calc'!$A$5:$Q$54,17,FALSE)</f>
        <v>2189454.96</v>
      </c>
      <c r="AB50" s="1">
        <f>VLOOKUP(A50,'Detailed SFPR_Calc'!$A$5:$R$54,18,FALSE)</f>
        <v>490769.24</v>
      </c>
      <c r="AC50" s="1">
        <f t="shared" si="9"/>
        <v>2680224.2000000002</v>
      </c>
      <c r="AD50" s="1">
        <f t="shared" si="10"/>
        <v>0</v>
      </c>
      <c r="AE50" s="1">
        <f t="shared" si="11"/>
        <v>3829158.9444055422</v>
      </c>
      <c r="AF50" s="9">
        <v>0</v>
      </c>
      <c r="AG50" s="9">
        <v>3565.77</v>
      </c>
      <c r="AH50" s="9">
        <v>41213.050000000003</v>
      </c>
      <c r="AI50" s="9">
        <v>-630.86</v>
      </c>
      <c r="AJ50" s="9">
        <f t="shared" si="12"/>
        <v>44147.96</v>
      </c>
      <c r="AK50" s="9">
        <f t="shared" si="13"/>
        <v>3873306.9044055422</v>
      </c>
      <c r="AL50" s="9">
        <f t="shared" si="14"/>
        <v>0</v>
      </c>
      <c r="AM50" s="118">
        <f>VLOOKUP(A50,'Base Cost_Calc'!$A$7:$AY$56,51,FALSE)</f>
        <v>3.2487772164006092E-2</v>
      </c>
      <c r="AN50" s="9">
        <f t="shared" si="15"/>
        <v>82250.557032407451</v>
      </c>
      <c r="AO50" s="37">
        <f t="shared" si="16"/>
        <v>0</v>
      </c>
      <c r="AP50" s="9">
        <f t="shared" si="17"/>
        <v>2531738.9144810191</v>
      </c>
      <c r="AQ50" s="9">
        <f t="shared" si="18"/>
        <v>237668.45163199998</v>
      </c>
      <c r="AR50" s="9">
        <f t="shared" si="19"/>
        <v>27731.315582999996</v>
      </c>
      <c r="AS50" s="9">
        <f t="shared" si="20"/>
        <v>208.41472659910417</v>
      </c>
      <c r="AT50" s="9">
        <f t="shared" si="21"/>
        <v>1031811.8479829238</v>
      </c>
      <c r="AU50" s="9">
        <v>2262819926.1649265</v>
      </c>
      <c r="AV50" s="9">
        <v>81596.03</v>
      </c>
    </row>
    <row r="51" spans="1:48" x14ac:dyDescent="0.25">
      <c r="A51" t="s">
        <v>193</v>
      </c>
      <c r="B51" t="s">
        <v>194</v>
      </c>
      <c r="C51" t="s">
        <v>247</v>
      </c>
      <c r="D51" s="1">
        <v>1788468.91</v>
      </c>
      <c r="E51" s="1">
        <v>107129.43</v>
      </c>
      <c r="F51" s="1">
        <v>35431.230000000003</v>
      </c>
      <c r="G51" s="1">
        <v>265790.08000000002</v>
      </c>
      <c r="H51" s="1">
        <v>301221.31</v>
      </c>
      <c r="I51" s="1">
        <v>17506.87</v>
      </c>
      <c r="J51" s="1">
        <f t="shared" si="3"/>
        <v>1878091.4699999997</v>
      </c>
      <c r="K51" s="1">
        <v>1876.35</v>
      </c>
      <c r="L51" s="1">
        <v>128738.52</v>
      </c>
      <c r="M51" s="1">
        <v>1446255.29</v>
      </c>
      <c r="N51" s="1">
        <f>VLOOKUP(A51,'State Share Base Cost'!$A$3:$G$52,7,FALSE)</f>
        <v>3729338.5319140982</v>
      </c>
      <c r="O51" s="1">
        <f>VLOOKUP(A51,DPIA!$A$5:$H$54,8,FALSE)</f>
        <v>29794.51</v>
      </c>
      <c r="P51" s="1">
        <f>VLOOKUP(A51,EL!$A$5:$L$54,12,FALSE)</f>
        <v>24974.19639794101</v>
      </c>
      <c r="Q51" s="1">
        <f>VLOOKUP(A51,'Special Edu'!$A$5:$Q$54,17,FALSE)</f>
        <v>746285.36074112693</v>
      </c>
      <c r="R51" s="1">
        <f>VLOOKUP(A51,CTE!$A$5:$R$54,18,FALSE)</f>
        <v>1573755.4540195384</v>
      </c>
      <c r="S51" s="1">
        <f t="shared" si="4"/>
        <v>1522131.5973841292</v>
      </c>
      <c r="T51" s="1">
        <f t="shared" si="22"/>
        <v>8192.1695879999988</v>
      </c>
      <c r="U51" s="1">
        <f t="shared" si="23"/>
        <v>15399.334193507271</v>
      </c>
      <c r="V51" s="1">
        <f t="shared" si="24"/>
        <v>411718.47872210928</v>
      </c>
      <c r="W51" s="1">
        <f t="shared" si="5"/>
        <v>848398.51381782617</v>
      </c>
      <c r="X51" s="1">
        <f t="shared" si="6"/>
        <v>4701438.433705572</v>
      </c>
      <c r="Y51" s="1">
        <f t="shared" si="7"/>
        <v>1895598.3399999999</v>
      </c>
      <c r="Z51" s="1">
        <f t="shared" si="8"/>
        <v>0</v>
      </c>
      <c r="AA51" s="1">
        <f>VLOOKUP(A51,'Detailed SFPR_Calc'!$A$5:$Q$54,17,FALSE)</f>
        <v>1876688.29</v>
      </c>
      <c r="AB51" s="1">
        <f>VLOOKUP(A51,'Detailed SFPR_Calc'!$A$5:$R$54,18,FALSE)</f>
        <v>161933.65</v>
      </c>
      <c r="AC51" s="1">
        <f t="shared" si="9"/>
        <v>2038621.94</v>
      </c>
      <c r="AD51" s="1">
        <f t="shared" si="10"/>
        <v>0</v>
      </c>
      <c r="AE51" s="1">
        <f t="shared" si="11"/>
        <v>4701438.433705572</v>
      </c>
      <c r="AF51" s="9">
        <v>0</v>
      </c>
      <c r="AG51" s="9">
        <v>38653.65</v>
      </c>
      <c r="AH51" s="9">
        <v>192739.31</v>
      </c>
      <c r="AI51" s="9">
        <v>-30506.53</v>
      </c>
      <c r="AJ51" s="9">
        <f t="shared" si="12"/>
        <v>200886.43</v>
      </c>
      <c r="AK51" s="9">
        <f t="shared" si="13"/>
        <v>4902324.8637055717</v>
      </c>
      <c r="AL51" s="9">
        <f t="shared" si="14"/>
        <v>0</v>
      </c>
      <c r="AM51" s="118">
        <f>VLOOKUP(A51,'Base Cost_Calc'!$A$7:$AY$56,51,FALSE)</f>
        <v>4.0406285538286367E-2</v>
      </c>
      <c r="AN51" s="9">
        <f t="shared" si="15"/>
        <v>119941.48815974822</v>
      </c>
      <c r="AO51" s="37">
        <f t="shared" si="16"/>
        <v>0</v>
      </c>
      <c r="AP51" s="9">
        <f t="shared" si="17"/>
        <v>2968386.8873841292</v>
      </c>
      <c r="AQ51" s="9">
        <f t="shared" si="18"/>
        <v>540456.99872210925</v>
      </c>
      <c r="AR51" s="9">
        <f t="shared" si="19"/>
        <v>25699.039588</v>
      </c>
      <c r="AS51" s="9">
        <f t="shared" si="20"/>
        <v>17275.68419350727</v>
      </c>
      <c r="AT51" s="9">
        <f t="shared" si="21"/>
        <v>1149619.8238178261</v>
      </c>
      <c r="AU51" s="9">
        <v>10469232164.113302</v>
      </c>
      <c r="AV51" s="9">
        <v>106339.13</v>
      </c>
    </row>
    <row r="52" spans="1:48" x14ac:dyDescent="0.25">
      <c r="A52" t="s">
        <v>195</v>
      </c>
      <c r="B52" t="s">
        <v>196</v>
      </c>
      <c r="C52" t="s">
        <v>248</v>
      </c>
      <c r="D52" s="1">
        <v>1837507.02</v>
      </c>
      <c r="E52" s="1">
        <v>17701.96</v>
      </c>
      <c r="F52" s="1">
        <v>7227.16</v>
      </c>
      <c r="G52" s="1">
        <v>423298.6</v>
      </c>
      <c r="H52" s="1">
        <v>430525.76</v>
      </c>
      <c r="I52" s="1">
        <v>65252.56</v>
      </c>
      <c r="J52" s="1">
        <f t="shared" si="3"/>
        <v>1789956.42</v>
      </c>
      <c r="K52" s="1">
        <v>0</v>
      </c>
      <c r="L52" s="1">
        <v>219059.91</v>
      </c>
      <c r="M52" s="1">
        <v>1140370.75</v>
      </c>
      <c r="N52" s="1">
        <f>VLOOKUP(A52,'State Share Base Cost'!$A$3:$G$52,7,FALSE)</f>
        <v>2901874.5445085778</v>
      </c>
      <c r="O52" s="1">
        <f>VLOOKUP(A52,DPIA!$A$5:$H$54,8,FALSE)</f>
        <v>138732.47</v>
      </c>
      <c r="P52" s="1">
        <f>VLOOKUP(A52,EL!$A$5:$L$54,12,FALSE)</f>
        <v>0</v>
      </c>
      <c r="Q52" s="1">
        <f>VLOOKUP(A52,'Special Edu'!$A$5:$Q$54,17,FALSE)</f>
        <v>369816.00416443555</v>
      </c>
      <c r="R52" s="1">
        <f>VLOOKUP(A52,CTE!$A$5:$R$54,18,FALSE)</f>
        <v>764796.38912671327</v>
      </c>
      <c r="S52" s="1">
        <f t="shared" si="4"/>
        <v>1174394.5797988689</v>
      </c>
      <c r="T52" s="1">
        <f t="shared" si="22"/>
        <v>48989.055996999996</v>
      </c>
      <c r="U52" s="1">
        <f t="shared" si="23"/>
        <v>0</v>
      </c>
      <c r="V52" s="1">
        <f t="shared" si="24"/>
        <v>100509.08797942917</v>
      </c>
      <c r="W52" s="1">
        <f t="shared" si="5"/>
        <v>222858.22843877971</v>
      </c>
      <c r="X52" s="1">
        <f t="shared" si="6"/>
        <v>3401959.9322140776</v>
      </c>
      <c r="Y52" s="1">
        <f t="shared" si="7"/>
        <v>1855208.98</v>
      </c>
      <c r="Z52" s="1">
        <f t="shared" si="8"/>
        <v>0</v>
      </c>
      <c r="AA52" s="1">
        <f>VLOOKUP(A52,'Detailed SFPR_Calc'!$A$5:$Q$54,17,FALSE)</f>
        <v>1932009.58</v>
      </c>
      <c r="AB52" s="1">
        <f>VLOOKUP(A52,'Detailed SFPR_Calc'!$A$5:$R$54,18,FALSE)</f>
        <v>33105.17</v>
      </c>
      <c r="AC52" s="1">
        <f t="shared" si="9"/>
        <v>1965114.75</v>
      </c>
      <c r="AD52" s="1">
        <f t="shared" si="10"/>
        <v>0</v>
      </c>
      <c r="AE52" s="1">
        <f t="shared" si="11"/>
        <v>3401959.9322140776</v>
      </c>
      <c r="AF52" s="9">
        <v>0</v>
      </c>
      <c r="AG52" s="9">
        <v>11935.3</v>
      </c>
      <c r="AH52" s="9">
        <v>21510.92</v>
      </c>
      <c r="AI52" s="9">
        <v>-27575.8</v>
      </c>
      <c r="AJ52" s="9">
        <f t="shared" si="12"/>
        <v>5870.4200000000019</v>
      </c>
      <c r="AK52" s="9">
        <f t="shared" si="13"/>
        <v>3407830.3522140775</v>
      </c>
      <c r="AL52" s="9">
        <f t="shared" si="14"/>
        <v>0</v>
      </c>
      <c r="AM52" s="118">
        <f>VLOOKUP(A52,'Base Cost_Calc'!$A$7:$AY$56,51,FALSE)</f>
        <v>2.8947920793189409E-2</v>
      </c>
      <c r="AN52" s="9">
        <f t="shared" si="15"/>
        <v>67007.643421838613</v>
      </c>
      <c r="AO52" s="37">
        <f t="shared" si="16"/>
        <v>0</v>
      </c>
      <c r="AP52" s="9">
        <f t="shared" si="17"/>
        <v>2314765.3297988689</v>
      </c>
      <c r="AQ52" s="9">
        <f t="shared" si="18"/>
        <v>319568.9979794292</v>
      </c>
      <c r="AR52" s="9">
        <f t="shared" si="19"/>
        <v>114241.61599699999</v>
      </c>
      <c r="AS52" s="9">
        <f t="shared" si="20"/>
        <v>0</v>
      </c>
      <c r="AT52" s="9">
        <f t="shared" si="21"/>
        <v>653383.98843877972</v>
      </c>
      <c r="AU52" s="9">
        <v>812863522.04513311</v>
      </c>
      <c r="AV52" s="9">
        <v>56448.91</v>
      </c>
    </row>
    <row r="53" spans="1:48" x14ac:dyDescent="0.25">
      <c r="A53" t="s">
        <v>197</v>
      </c>
      <c r="B53" t="s">
        <v>198</v>
      </c>
      <c r="C53" t="s">
        <v>249</v>
      </c>
      <c r="D53" s="1">
        <v>5720216.25</v>
      </c>
      <c r="E53" s="1">
        <v>63193.66</v>
      </c>
      <c r="F53" s="1">
        <v>24485.06</v>
      </c>
      <c r="G53" s="1">
        <v>1127483.8999999999</v>
      </c>
      <c r="H53" s="1">
        <v>1151968.96</v>
      </c>
      <c r="I53" s="1">
        <v>76608.95</v>
      </c>
      <c r="J53" s="1">
        <f t="shared" si="3"/>
        <v>5706800.96</v>
      </c>
      <c r="K53" s="1">
        <v>0</v>
      </c>
      <c r="L53" s="1">
        <v>345967.76</v>
      </c>
      <c r="M53" s="1">
        <v>4208864.24</v>
      </c>
      <c r="N53" s="1">
        <f>VLOOKUP(A53,'State Share Base Cost'!$A$3:$G$52,7,FALSE)</f>
        <v>4931739.220002464</v>
      </c>
      <c r="O53" s="1">
        <f>VLOOKUP(A53,DPIA!$A$5:$H$54,8,FALSE)</f>
        <v>206258.51</v>
      </c>
      <c r="P53" s="1">
        <f>VLOOKUP(A53,EL!$A$5:$L$54,12,FALSE)</f>
        <v>0</v>
      </c>
      <c r="Q53" s="1">
        <f>VLOOKUP(A53,'Special Edu'!$A$5:$Q$54,17,FALSE)</f>
        <v>844564.69000000006</v>
      </c>
      <c r="R53" s="1">
        <f>VLOOKUP(A53,CTE!$A$5:$R$54,18,FALSE)</f>
        <v>1708391.8914365058</v>
      </c>
      <c r="S53" s="1">
        <f t="shared" si="4"/>
        <v>481940.74916764256</v>
      </c>
      <c r="T53" s="1">
        <f t="shared" si="22"/>
        <v>86437.361652000007</v>
      </c>
      <c r="U53" s="1">
        <f t="shared" si="23"/>
        <v>0</v>
      </c>
      <c r="V53" s="1">
        <f t="shared" si="24"/>
        <v>332414.57323099999</v>
      </c>
      <c r="W53" s="1">
        <f t="shared" si="5"/>
        <v>370967.16838871845</v>
      </c>
      <c r="X53" s="1">
        <f t="shared" si="6"/>
        <v>7055169.7624393618</v>
      </c>
      <c r="Y53" s="1">
        <f t="shared" si="7"/>
        <v>5783409.9100000001</v>
      </c>
      <c r="Z53" s="1">
        <f t="shared" si="8"/>
        <v>0</v>
      </c>
      <c r="AA53" s="1">
        <f>VLOOKUP(A53,'Detailed SFPR_Calc'!$A$5:$Q$54,17,FALSE)</f>
        <v>5874298.4500000002</v>
      </c>
      <c r="AB53" s="1">
        <f>VLOOKUP(A53,'Detailed SFPR_Calc'!$A$5:$R$54,18,FALSE)</f>
        <v>163852.92000000001</v>
      </c>
      <c r="AC53" s="1">
        <f t="shared" si="9"/>
        <v>6038151.3700000001</v>
      </c>
      <c r="AD53" s="1">
        <f t="shared" si="10"/>
        <v>0</v>
      </c>
      <c r="AE53" s="1">
        <f t="shared" si="11"/>
        <v>7055169.7624393618</v>
      </c>
      <c r="AF53" s="9">
        <v>0</v>
      </c>
      <c r="AG53" s="9">
        <v>129491.75</v>
      </c>
      <c r="AH53" s="9">
        <v>81310.09</v>
      </c>
      <c r="AI53" s="9">
        <v>80460.7</v>
      </c>
      <c r="AJ53" s="9">
        <f t="shared" si="12"/>
        <v>291262.53999999998</v>
      </c>
      <c r="AK53" s="9">
        <f t="shared" si="13"/>
        <v>7346432.3024393618</v>
      </c>
      <c r="AL53" s="9">
        <f t="shared" si="14"/>
        <v>0</v>
      </c>
      <c r="AM53" s="118">
        <f>VLOOKUP(A53,'Base Cost_Calc'!$A$7:$AY$56,51,FALSE)</f>
        <v>3.801247463623756E-2</v>
      </c>
      <c r="AN53" s="9">
        <f t="shared" si="15"/>
        <v>178309.10567427162</v>
      </c>
      <c r="AO53" s="37">
        <f t="shared" si="16"/>
        <v>0</v>
      </c>
      <c r="AP53" s="9">
        <f t="shared" si="17"/>
        <v>4690804.9891676428</v>
      </c>
      <c r="AQ53" s="9">
        <f t="shared" si="18"/>
        <v>678382.333231</v>
      </c>
      <c r="AR53" s="9">
        <f t="shared" si="19"/>
        <v>163046.311652</v>
      </c>
      <c r="AS53" s="9">
        <f t="shared" si="20"/>
        <v>0</v>
      </c>
      <c r="AT53" s="9">
        <f t="shared" si="21"/>
        <v>1522936.1283887185</v>
      </c>
      <c r="AU53" s="9">
        <v>2598890065.6699042</v>
      </c>
      <c r="AV53" s="9">
        <v>163271.35999999999</v>
      </c>
    </row>
    <row r="54" spans="1:48" x14ac:dyDescent="0.25">
      <c r="A54" s="135" t="s">
        <v>914</v>
      </c>
      <c r="B54" t="s">
        <v>250</v>
      </c>
      <c r="C54" t="s">
        <v>317</v>
      </c>
      <c r="D54" s="1">
        <v>307319875.71000004</v>
      </c>
      <c r="E54" s="1">
        <v>16258622.650000002</v>
      </c>
      <c r="F54" s="1">
        <v>5465545.2499999991</v>
      </c>
      <c r="G54" s="1"/>
      <c r="H54" s="1">
        <f t="shared" ref="H54:W54" si="25">SUM(H5:H53)</f>
        <v>93335590.860000014</v>
      </c>
      <c r="I54" s="1">
        <f t="shared" si="25"/>
        <v>6278621.8099999987</v>
      </c>
      <c r="J54" s="1">
        <f>SUM(J5:J53)</f>
        <v>317299876.55000001</v>
      </c>
      <c r="K54" s="1">
        <f t="shared" si="25"/>
        <v>108614.82</v>
      </c>
      <c r="L54" s="1">
        <f t="shared" si="25"/>
        <v>37198419.509999998</v>
      </c>
      <c r="M54" s="1">
        <f t="shared" si="25"/>
        <v>186657251.35999995</v>
      </c>
      <c r="N54" s="1">
        <f t="shared" si="25"/>
        <v>361987870.77417874</v>
      </c>
      <c r="O54" s="1">
        <f t="shared" si="25"/>
        <v>12995815.060000001</v>
      </c>
      <c r="P54" s="1">
        <f t="shared" si="25"/>
        <v>421419.40042697708</v>
      </c>
      <c r="Q54" s="1">
        <f t="shared" si="25"/>
        <v>57439692.06995213</v>
      </c>
      <c r="R54" s="1">
        <f t="shared" si="25"/>
        <v>135188616.0602054</v>
      </c>
      <c r="S54" s="1">
        <f t="shared" si="25"/>
        <v>116892923.96343292</v>
      </c>
      <c r="T54" s="1">
        <f t="shared" si="25"/>
        <v>4478352.7397750001</v>
      </c>
      <c r="U54" s="1">
        <f t="shared" si="25"/>
        <v>208546.8137706655</v>
      </c>
      <c r="V54" s="1">
        <f t="shared" si="25"/>
        <v>13494856.41572009</v>
      </c>
      <c r="W54" s="1">
        <f t="shared" si="25"/>
        <v>27903411.900976926</v>
      </c>
      <c r="X54" s="1">
        <f>SUM(X5:X53)</f>
        <v>486556590.19367576</v>
      </c>
      <c r="Y54" s="1">
        <f>SUM(Y5:Y53)</f>
        <v>323578498.36000001</v>
      </c>
      <c r="Z54" s="1">
        <f>SUM(Z5:Z53)</f>
        <v>0</v>
      </c>
      <c r="AA54" s="1">
        <f t="shared" ref="AA54:AL54" si="26">SUM(AA5:AA53)</f>
        <v>318341124.86999995</v>
      </c>
      <c r="AB54" s="1">
        <f t="shared" si="26"/>
        <v>16945875.840000004</v>
      </c>
      <c r="AC54" s="1">
        <f t="shared" si="26"/>
        <v>335287000.70999998</v>
      </c>
      <c r="AD54" s="1">
        <f t="shared" si="26"/>
        <v>36230.133936249418</v>
      </c>
      <c r="AE54" s="1">
        <f>SUM(AE5:AE53)</f>
        <v>486592820.32761204</v>
      </c>
      <c r="AF54" s="9">
        <f>SUM(AF5:AF53)</f>
        <v>-346867.65</v>
      </c>
      <c r="AG54" s="9">
        <f t="shared" ref="AG54:AK54" si="27">SUM(AG5:AG53)</f>
        <v>1879480.19</v>
      </c>
      <c r="AH54" s="9">
        <f t="shared" si="27"/>
        <v>5062671.0099999988</v>
      </c>
      <c r="AI54" s="9">
        <f t="shared" si="27"/>
        <v>-1440935.77</v>
      </c>
      <c r="AJ54" s="9">
        <f t="shared" si="27"/>
        <v>5154347.7800000012</v>
      </c>
      <c r="AK54" s="9">
        <f t="shared" si="27"/>
        <v>491747168.10761201</v>
      </c>
      <c r="AL54" s="1">
        <f t="shared" si="26"/>
        <v>0</v>
      </c>
      <c r="AN54" s="9">
        <f>SUM(AN5:AN53)</f>
        <v>12102673.045393182</v>
      </c>
      <c r="AO54" s="37">
        <f>SUM(AO5:AO53)</f>
        <v>1</v>
      </c>
      <c r="AU54" s="9">
        <f>SUM(AU5:AU53)</f>
        <v>234073986308.71115</v>
      </c>
      <c r="AV54" s="9">
        <f>SUM(AV5:AV53)</f>
        <v>10536343.489999998</v>
      </c>
    </row>
    <row r="56" spans="1:48" x14ac:dyDescent="0.25">
      <c r="Z56">
        <f>COUNTIF(Z5:Z53,"&gt;0")</f>
        <v>0</v>
      </c>
      <c r="AD56">
        <f>COUNTIF(AD5:AD53,"&gt;0")</f>
        <v>1</v>
      </c>
      <c r="AE56" s="1"/>
      <c r="AF56" s="1"/>
      <c r="AG56" s="1"/>
      <c r="AH56" s="1"/>
      <c r="AI56" s="1"/>
      <c r="AJ56" s="1"/>
      <c r="AK56" s="1"/>
    </row>
    <row r="57" spans="1:48" x14ac:dyDescent="0.25">
      <c r="D57" s="1"/>
      <c r="AE57" s="1"/>
      <c r="AF57" s="1"/>
      <c r="AG57" s="1"/>
      <c r="AH57" s="1"/>
      <c r="AI57" s="1"/>
      <c r="AJ57" s="1"/>
      <c r="AK57" s="1"/>
    </row>
    <row r="58" spans="1:48" x14ac:dyDescent="0.25">
      <c r="M58" s="1">
        <f>M54+S54</f>
        <v>303550175.32343286</v>
      </c>
      <c r="AE58" s="1"/>
      <c r="AF58" s="1"/>
      <c r="AG58" s="1"/>
      <c r="AH58" s="1"/>
      <c r="AI58" s="1"/>
      <c r="AJ58" s="1"/>
      <c r="AK58" s="1"/>
    </row>
    <row r="59" spans="1:48" x14ac:dyDescent="0.25">
      <c r="E59" s="1"/>
      <c r="J59" s="1"/>
      <c r="AK59" s="9"/>
    </row>
  </sheetData>
  <mergeCells count="1">
    <mergeCell ref="N3:R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Sheet2</vt:lpstr>
      <vt:lpstr>JVSD TY23 Projected</vt:lpstr>
      <vt:lpstr>Directions</vt:lpstr>
      <vt:lpstr>Detailed SFPR</vt:lpstr>
      <vt:lpstr>Summary SFPR</vt:lpstr>
      <vt:lpstr>ADM Data</vt:lpstr>
      <vt:lpstr>Valuation </vt:lpstr>
      <vt:lpstr>DPIA</vt:lpstr>
      <vt:lpstr>Summary SFPR_Calc</vt:lpstr>
      <vt:lpstr>BC ADM</vt:lpstr>
      <vt:lpstr>Base Cost ADM</vt:lpstr>
      <vt:lpstr>Valuation_data</vt:lpstr>
      <vt:lpstr>CTE</vt:lpstr>
      <vt:lpstr>EL</vt:lpstr>
      <vt:lpstr>State Share Base Cost</vt:lpstr>
      <vt:lpstr>Base Cost_Calc</vt:lpstr>
      <vt:lpstr>Notes</vt:lpstr>
      <vt:lpstr>Detailed SFPR_Calc</vt:lpstr>
      <vt:lpstr>Special Edu</vt:lpstr>
      <vt:lpstr>Base Cost Report</vt:lpstr>
      <vt:lpstr>new__detail_sfpr_adm</vt:lpstr>
      <vt:lpstr>TY20</vt:lpstr>
      <vt:lpstr>Valuation</vt:lpstr>
      <vt:lpstr>fy22_fte</vt:lpstr>
      <vt:lpstr>fy22 adm</vt:lpstr>
      <vt:lpstr>base_fte</vt:lpstr>
      <vt:lpstr>FY20_JVS</vt:lpstr>
      <vt:lpstr>JVSD_OtherAdjustments</vt:lpstr>
      <vt:lpstr>'Base Cost Report'!_Hlk79745970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Shams, Daria</dc:creator>
  <cp:keywords/>
  <dc:description/>
  <cp:lastModifiedBy>Sanders, Elena</cp:lastModifiedBy>
  <cp:revision/>
  <dcterms:created xsi:type="dcterms:W3CDTF">2021-07-16T18:36:20Z</dcterms:created>
  <dcterms:modified xsi:type="dcterms:W3CDTF">2024-04-15T18:45:34Z</dcterms:modified>
  <cp:category/>
  <cp:contentStatus/>
</cp:coreProperties>
</file>