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127306\Desktop\"/>
    </mc:Choice>
  </mc:AlternateContent>
  <xr:revisionPtr revIDLastSave="0" documentId="13_ncr:1_{4E08C37D-6B91-4C1B-93A2-A84F51A1AC24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November Pymt" sheetId="1" r:id="rId1"/>
    <sheet name="February Pymt" sheetId="2" r:id="rId2"/>
    <sheet name="May Pym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3" l="1"/>
  <c r="H17" i="3"/>
  <c r="H21" i="3"/>
  <c r="H25" i="3"/>
  <c r="H29" i="3"/>
  <c r="H33" i="3"/>
  <c r="H37" i="3"/>
  <c r="H41" i="3"/>
  <c r="H45" i="3"/>
  <c r="H49" i="3"/>
  <c r="H53" i="3"/>
  <c r="H57" i="3"/>
  <c r="H61" i="3"/>
  <c r="H65" i="3"/>
  <c r="H69" i="3"/>
  <c r="H72" i="3"/>
  <c r="H73" i="3"/>
  <c r="H77" i="3"/>
  <c r="H81" i="3"/>
  <c r="H84" i="3"/>
  <c r="H85" i="3"/>
  <c r="H89" i="3"/>
  <c r="H90" i="3"/>
  <c r="H93" i="3"/>
  <c r="H97" i="3"/>
  <c r="H100" i="3"/>
  <c r="H101" i="3"/>
  <c r="H105" i="3"/>
  <c r="H109" i="3"/>
  <c r="H113" i="3"/>
  <c r="H116" i="3"/>
  <c r="H117" i="3"/>
  <c r="H120" i="3"/>
  <c r="H121" i="3"/>
  <c r="H125" i="3"/>
  <c r="H129" i="3"/>
  <c r="H133" i="3"/>
  <c r="H136" i="3"/>
  <c r="H137" i="3"/>
  <c r="H141" i="3"/>
  <c r="H142" i="3"/>
  <c r="H145" i="3"/>
  <c r="H149" i="3"/>
  <c r="H152" i="3"/>
  <c r="H153" i="3"/>
  <c r="H157" i="3"/>
  <c r="H161" i="3"/>
  <c r="H164" i="3"/>
  <c r="H165" i="3"/>
  <c r="H169" i="3"/>
  <c r="H173" i="3"/>
  <c r="H177" i="3"/>
  <c r="H180" i="3"/>
  <c r="H181" i="3"/>
  <c r="H184" i="3"/>
  <c r="H185" i="3"/>
  <c r="H189" i="3"/>
  <c r="H193" i="3"/>
  <c r="H194" i="3"/>
  <c r="H197" i="3"/>
  <c r="H200" i="3"/>
  <c r="H201" i="3"/>
  <c r="H205" i="3"/>
  <c r="H209" i="3"/>
  <c r="H213" i="3"/>
  <c r="H216" i="3"/>
  <c r="H217" i="3"/>
  <c r="H221" i="3"/>
  <c r="H225" i="3"/>
  <c r="H229" i="3"/>
  <c r="H233" i="3"/>
  <c r="H237" i="3"/>
  <c r="H241" i="3"/>
  <c r="H244" i="3"/>
  <c r="H245" i="3"/>
  <c r="H249" i="3"/>
  <c r="H253" i="3"/>
  <c r="H256" i="3"/>
  <c r="H257" i="3"/>
  <c r="H260" i="3"/>
  <c r="H261" i="3"/>
  <c r="H265" i="3"/>
  <c r="H269" i="3"/>
  <c r="H272" i="3"/>
  <c r="H273" i="3"/>
  <c r="H276" i="3"/>
  <c r="H277" i="3"/>
  <c r="H281" i="3"/>
  <c r="H285" i="3"/>
  <c r="H288" i="3"/>
  <c r="H289" i="3"/>
  <c r="H292" i="3"/>
  <c r="H293" i="3"/>
  <c r="H296" i="3"/>
  <c r="H297" i="3"/>
  <c r="H301" i="3"/>
  <c r="H304" i="3"/>
  <c r="H305" i="3"/>
  <c r="H309" i="3"/>
  <c r="H312" i="3"/>
  <c r="H313" i="3"/>
  <c r="H317" i="3"/>
  <c r="H320" i="3"/>
  <c r="H321" i="3"/>
  <c r="H325" i="3"/>
  <c r="H328" i="3"/>
  <c r="H329" i="3"/>
  <c r="H333" i="3"/>
  <c r="H336" i="3"/>
  <c r="H337" i="3"/>
  <c r="H341" i="3"/>
  <c r="H344" i="3"/>
  <c r="H345" i="3"/>
  <c r="H348" i="3"/>
  <c r="H349" i="3"/>
  <c r="H352" i="3"/>
  <c r="H353" i="3"/>
  <c r="H357" i="3"/>
  <c r="H361" i="3"/>
  <c r="H364" i="3"/>
  <c r="H365" i="3"/>
  <c r="H368" i="3"/>
  <c r="H369" i="3"/>
  <c r="H372" i="3"/>
  <c r="H373" i="3"/>
  <c r="H377" i="3"/>
  <c r="H380" i="3"/>
  <c r="H381" i="3"/>
  <c r="H384" i="3"/>
  <c r="H385" i="3"/>
  <c r="H388" i="3"/>
  <c r="H389" i="3"/>
  <c r="H393" i="3"/>
  <c r="H396" i="3"/>
  <c r="H397" i="3"/>
  <c r="H400" i="3"/>
  <c r="H401" i="3"/>
  <c r="H404" i="3"/>
  <c r="H405" i="3"/>
  <c r="H407" i="3"/>
  <c r="H409" i="3"/>
  <c r="H411" i="3"/>
  <c r="H412" i="3"/>
  <c r="H413" i="3"/>
  <c r="H417" i="3"/>
  <c r="H419" i="3"/>
  <c r="H420" i="3"/>
  <c r="H421" i="3"/>
  <c r="H423" i="3"/>
  <c r="H424" i="3"/>
  <c r="H425" i="3"/>
  <c r="H429" i="3"/>
  <c r="H431" i="3"/>
  <c r="H432" i="3"/>
  <c r="H433" i="3"/>
  <c r="H435" i="3"/>
  <c r="H437" i="3"/>
  <c r="H439" i="3"/>
  <c r="H440" i="3"/>
  <c r="H441" i="3"/>
  <c r="H443" i="3"/>
  <c r="H445" i="3"/>
  <c r="H448" i="3"/>
  <c r="H449" i="3"/>
  <c r="H451" i="3"/>
  <c r="H453" i="3"/>
  <c r="H455" i="3"/>
  <c r="H457" i="3"/>
  <c r="H459" i="3"/>
  <c r="H460" i="3"/>
  <c r="H461" i="3"/>
  <c r="H463" i="3"/>
  <c r="H465" i="3"/>
  <c r="H468" i="3"/>
  <c r="H469" i="3"/>
  <c r="H471" i="3"/>
  <c r="H473" i="3"/>
  <c r="H475" i="3"/>
  <c r="H476" i="3"/>
  <c r="H477" i="3"/>
  <c r="H481" i="3"/>
  <c r="H483" i="3"/>
  <c r="H484" i="3"/>
  <c r="H485" i="3"/>
  <c r="H487" i="3"/>
  <c r="H488" i="3"/>
  <c r="H489" i="3"/>
  <c r="H493" i="3"/>
  <c r="H495" i="3"/>
  <c r="H496" i="3"/>
  <c r="H497" i="3"/>
  <c r="H499" i="3"/>
  <c r="H501" i="3"/>
  <c r="H503" i="3"/>
  <c r="H504" i="3"/>
  <c r="H505" i="3"/>
  <c r="H507" i="3"/>
  <c r="H509" i="3"/>
  <c r="H511" i="3"/>
  <c r="H512" i="3"/>
  <c r="H513" i="3"/>
  <c r="H515" i="3"/>
  <c r="H517" i="3"/>
  <c r="H521" i="3"/>
  <c r="H523" i="3"/>
  <c r="H524" i="3"/>
  <c r="H525" i="3"/>
  <c r="H527" i="3"/>
  <c r="H528" i="3"/>
  <c r="H529" i="3"/>
  <c r="H532" i="3"/>
  <c r="H533" i="3"/>
  <c r="H535" i="3"/>
  <c r="H537" i="3"/>
  <c r="H539" i="3"/>
  <c r="H540" i="3"/>
  <c r="H541" i="3"/>
  <c r="H545" i="3"/>
  <c r="H547" i="3"/>
  <c r="H548" i="3"/>
  <c r="H549" i="3"/>
  <c r="H551" i="3"/>
  <c r="H552" i="3"/>
  <c r="H553" i="3"/>
  <c r="H557" i="3"/>
  <c r="H559" i="3"/>
  <c r="H560" i="3"/>
  <c r="H561" i="3"/>
  <c r="H563" i="3"/>
  <c r="H565" i="3"/>
  <c r="H567" i="3"/>
  <c r="H568" i="3"/>
  <c r="H569" i="3"/>
  <c r="H571" i="3"/>
  <c r="H573" i="3"/>
  <c r="H575" i="3"/>
  <c r="H576" i="3"/>
  <c r="H577" i="3"/>
  <c r="H579" i="3"/>
  <c r="H580" i="3"/>
  <c r="H581" i="3"/>
  <c r="H583" i="3"/>
  <c r="H584" i="3"/>
  <c r="H585" i="3"/>
  <c r="H587" i="3"/>
  <c r="H588" i="3"/>
  <c r="H589" i="3"/>
  <c r="H591" i="3"/>
  <c r="H593" i="3"/>
  <c r="H596" i="3"/>
  <c r="H597" i="3"/>
  <c r="H599" i="3"/>
  <c r="H600" i="3"/>
  <c r="H601" i="3"/>
  <c r="H603" i="3"/>
  <c r="H604" i="3"/>
  <c r="H605" i="3"/>
  <c r="H607" i="3"/>
  <c r="H609" i="3"/>
  <c r="H611" i="3"/>
  <c r="H612" i="3"/>
  <c r="H613" i="3"/>
  <c r="H615" i="3"/>
  <c r="H616" i="3"/>
  <c r="H617" i="3"/>
  <c r="H619" i="3"/>
  <c r="H620" i="3"/>
  <c r="H621" i="3"/>
  <c r="H623" i="3"/>
  <c r="H624" i="3"/>
  <c r="H625" i="3"/>
  <c r="H627" i="3"/>
  <c r="H629" i="3"/>
  <c r="H632" i="3"/>
  <c r="H633" i="3"/>
  <c r="H635" i="3"/>
  <c r="H637" i="3"/>
  <c r="H639" i="3"/>
  <c r="H640" i="3"/>
  <c r="H641" i="3"/>
  <c r="H643" i="3"/>
  <c r="H644" i="3"/>
  <c r="H645" i="3"/>
  <c r="H647" i="3"/>
  <c r="H648" i="3"/>
  <c r="H649" i="3"/>
  <c r="H650" i="3"/>
  <c r="H651" i="3"/>
  <c r="H652" i="3"/>
  <c r="H653" i="3"/>
  <c r="H654" i="3"/>
  <c r="H658" i="3"/>
  <c r="H660" i="3"/>
  <c r="H661" i="3"/>
  <c r="H662" i="3"/>
  <c r="H665" i="3"/>
  <c r="H666" i="3"/>
  <c r="H668" i="3"/>
  <c r="H669" i="3"/>
  <c r="H670" i="3"/>
  <c r="H672" i="3"/>
  <c r="H673" i="3"/>
  <c r="H674" i="3"/>
  <c r="H676" i="3"/>
  <c r="H677" i="3"/>
  <c r="H678" i="3"/>
  <c r="H681" i="3"/>
  <c r="H682" i="3"/>
  <c r="H684" i="3"/>
  <c r="H685" i="3"/>
  <c r="H686" i="3"/>
  <c r="H688" i="3"/>
  <c r="H689" i="3"/>
  <c r="H690" i="3"/>
  <c r="H692" i="3"/>
  <c r="H693" i="3"/>
  <c r="H694" i="3"/>
  <c r="H697" i="3"/>
  <c r="H7" i="3"/>
  <c r="H8" i="3"/>
  <c r="H11" i="3"/>
  <c r="H15" i="3"/>
  <c r="H19" i="3"/>
  <c r="H23" i="3"/>
  <c r="H27" i="3"/>
  <c r="H31" i="3"/>
  <c r="H35" i="3"/>
  <c r="H39" i="3"/>
  <c r="H43" i="3"/>
  <c r="H47" i="3"/>
  <c r="H51" i="3"/>
  <c r="H55" i="3"/>
  <c r="H59" i="3"/>
  <c r="H63" i="3"/>
  <c r="H68" i="3"/>
  <c r="H88" i="3"/>
  <c r="H104" i="3"/>
  <c r="H132" i="3"/>
  <c r="H148" i="3"/>
  <c r="H168" i="3"/>
  <c r="H196" i="3"/>
  <c r="H212" i="3"/>
  <c r="H228" i="3"/>
  <c r="H232" i="3"/>
  <c r="H248" i="3"/>
  <c r="H264" i="3"/>
  <c r="H280" i="3"/>
  <c r="H308" i="3"/>
  <c r="H324" i="3"/>
  <c r="H340" i="3"/>
  <c r="H356" i="3"/>
  <c r="H360" i="3"/>
  <c r="H376" i="3"/>
  <c r="H392" i="3"/>
  <c r="H408" i="3"/>
  <c r="H415" i="3"/>
  <c r="H416" i="3"/>
  <c r="H427" i="3"/>
  <c r="H428" i="3"/>
  <c r="H436" i="3"/>
  <c r="H444" i="3"/>
  <c r="H447" i="3"/>
  <c r="H452" i="3"/>
  <c r="H456" i="3"/>
  <c r="H464" i="3"/>
  <c r="H467" i="3"/>
  <c r="H472" i="3"/>
  <c r="H479" i="3"/>
  <c r="H480" i="3"/>
  <c r="H491" i="3"/>
  <c r="H492" i="3"/>
  <c r="H500" i="3"/>
  <c r="H508" i="3"/>
  <c r="H516" i="3"/>
  <c r="H519" i="3"/>
  <c r="H520" i="3"/>
  <c r="H531" i="3"/>
  <c r="H536" i="3"/>
  <c r="H543" i="3"/>
  <c r="H544" i="3"/>
  <c r="H555" i="3"/>
  <c r="H556" i="3"/>
  <c r="H564" i="3"/>
  <c r="H572" i="3"/>
  <c r="H592" i="3"/>
  <c r="H595" i="3"/>
  <c r="H608" i="3"/>
  <c r="H628" i="3"/>
  <c r="H631" i="3"/>
  <c r="H636" i="3"/>
  <c r="H655" i="3"/>
  <c r="H656" i="3"/>
  <c r="H657" i="3"/>
  <c r="H664" i="3"/>
  <c r="H680" i="3"/>
  <c r="H696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H683" i="3" l="1"/>
  <c r="H590" i="3"/>
  <c r="H578" i="3"/>
  <c r="H562" i="3"/>
  <c r="H546" i="3"/>
  <c r="H530" i="3"/>
  <c r="H514" i="3"/>
  <c r="H398" i="3"/>
  <c r="H346" i="3"/>
  <c r="H322" i="3"/>
  <c r="H270" i="3"/>
  <c r="H218" i="3"/>
  <c r="H66" i="3"/>
  <c r="H582" i="3"/>
  <c r="H566" i="3"/>
  <c r="H554" i="3"/>
  <c r="H538" i="3"/>
  <c r="H522" i="3"/>
  <c r="H502" i="3"/>
  <c r="H646" i="3"/>
  <c r="H638" i="3"/>
  <c r="H634" i="3"/>
  <c r="H626" i="3"/>
  <c r="H618" i="3"/>
  <c r="H610" i="3"/>
  <c r="H602" i="3"/>
  <c r="H594" i="3"/>
  <c r="H574" i="3"/>
  <c r="H558" i="3"/>
  <c r="H542" i="3"/>
  <c r="H526" i="3"/>
  <c r="H510" i="3"/>
  <c r="H642" i="3"/>
  <c r="H630" i="3"/>
  <c r="H622" i="3"/>
  <c r="H614" i="3"/>
  <c r="H606" i="3"/>
  <c r="H598" i="3"/>
  <c r="H586" i="3"/>
  <c r="H570" i="3"/>
  <c r="H550" i="3"/>
  <c r="H534" i="3"/>
  <c r="H518" i="3"/>
  <c r="H506" i="3"/>
  <c r="H240" i="3"/>
  <c r="H224" i="3"/>
  <c r="H208" i="3"/>
  <c r="H192" i="3"/>
  <c r="H176" i="3"/>
  <c r="H160" i="3"/>
  <c r="H144" i="3"/>
  <c r="H128" i="3"/>
  <c r="H112" i="3"/>
  <c r="H96" i="3"/>
  <c r="H80" i="3"/>
  <c r="H64" i="3"/>
  <c r="H56" i="3"/>
  <c r="H48" i="3"/>
  <c r="H40" i="3"/>
  <c r="H32" i="3"/>
  <c r="H24" i="3"/>
  <c r="H16" i="3"/>
  <c r="H687" i="3"/>
  <c r="H675" i="3"/>
  <c r="H659" i="3"/>
  <c r="H486" i="3"/>
  <c r="H474" i="3"/>
  <c r="H458" i="3"/>
  <c r="H438" i="3"/>
  <c r="H422" i="3"/>
  <c r="H362" i="3"/>
  <c r="H350" i="3"/>
  <c r="H298" i="3"/>
  <c r="H262" i="3"/>
  <c r="H202" i="3"/>
  <c r="H170" i="3"/>
  <c r="H138" i="3"/>
  <c r="H126" i="3"/>
  <c r="H94" i="3"/>
  <c r="H86" i="3"/>
  <c r="H82" i="3"/>
  <c r="H74" i="3"/>
  <c r="H70" i="3"/>
  <c r="H54" i="3"/>
  <c r="H46" i="3"/>
  <c r="H42" i="3"/>
  <c r="H38" i="3"/>
  <c r="H30" i="3"/>
  <c r="H26" i="3"/>
  <c r="H22" i="3"/>
  <c r="H14" i="3"/>
  <c r="H10" i="3"/>
  <c r="H6" i="3"/>
  <c r="H494" i="3"/>
  <c r="H470" i="3"/>
  <c r="H454" i="3"/>
  <c r="H442" i="3"/>
  <c r="H426" i="3"/>
  <c r="H410" i="3"/>
  <c r="H374" i="3"/>
  <c r="H338" i="3"/>
  <c r="H326" i="3"/>
  <c r="H310" i="3"/>
  <c r="H190" i="3"/>
  <c r="H178" i="3"/>
  <c r="H166" i="3"/>
  <c r="H146" i="3"/>
  <c r="H114" i="3"/>
  <c r="H695" i="3"/>
  <c r="H691" i="3"/>
  <c r="H498" i="3"/>
  <c r="H482" i="3"/>
  <c r="H466" i="3"/>
  <c r="H450" i="3"/>
  <c r="H430" i="3"/>
  <c r="H414" i="3"/>
  <c r="H402" i="3"/>
  <c r="H390" i="3"/>
  <c r="H330" i="3"/>
  <c r="H318" i="3"/>
  <c r="H306" i="3"/>
  <c r="H294" i="3"/>
  <c r="H278" i="3"/>
  <c r="H266" i="3"/>
  <c r="H254" i="3"/>
  <c r="H242" i="3"/>
  <c r="H230" i="3"/>
  <c r="H214" i="3"/>
  <c r="H158" i="3"/>
  <c r="H106" i="3"/>
  <c r="H58" i="3"/>
  <c r="H663" i="3"/>
  <c r="H378" i="3"/>
  <c r="H354" i="3"/>
  <c r="H98" i="3"/>
  <c r="H50" i="3"/>
  <c r="H386" i="3"/>
  <c r="H334" i="3"/>
  <c r="H282" i="3"/>
  <c r="H258" i="3"/>
  <c r="H206" i="3"/>
  <c r="H154" i="3"/>
  <c r="H130" i="3"/>
  <c r="H78" i="3"/>
  <c r="H34" i="3"/>
  <c r="H671" i="3"/>
  <c r="H490" i="3"/>
  <c r="H478" i="3"/>
  <c r="H462" i="3"/>
  <c r="H446" i="3"/>
  <c r="H434" i="3"/>
  <c r="H418" i="3"/>
  <c r="H406" i="3"/>
  <c r="H394" i="3"/>
  <c r="H382" i="3"/>
  <c r="H370" i="3"/>
  <c r="H358" i="3"/>
  <c r="H342" i="3"/>
  <c r="H286" i="3"/>
  <c r="H274" i="3"/>
  <c r="H246" i="3"/>
  <c r="H234" i="3"/>
  <c r="H222" i="3"/>
  <c r="H210" i="3"/>
  <c r="H198" i="3"/>
  <c r="H182" i="3"/>
  <c r="H150" i="3"/>
  <c r="H134" i="3"/>
  <c r="H118" i="3"/>
  <c r="H102" i="3"/>
  <c r="H62" i="3"/>
  <c r="H302" i="3"/>
  <c r="H250" i="3"/>
  <c r="H226" i="3"/>
  <c r="H174" i="3"/>
  <c r="H122" i="3"/>
  <c r="H667" i="3"/>
  <c r="H679" i="3"/>
  <c r="H366" i="3"/>
  <c r="H314" i="3"/>
  <c r="H290" i="3"/>
  <c r="H238" i="3"/>
  <c r="H186" i="3"/>
  <c r="H162" i="3"/>
  <c r="H110" i="3"/>
  <c r="H18" i="3"/>
  <c r="H9" i="3"/>
  <c r="H332" i="3"/>
  <c r="H316" i="3"/>
  <c r="H300" i="3"/>
  <c r="H284" i="3"/>
  <c r="H268" i="3"/>
  <c r="H252" i="3"/>
  <c r="H236" i="3"/>
  <c r="H220" i="3"/>
  <c r="H204" i="3"/>
  <c r="H188" i="3"/>
  <c r="H172" i="3"/>
  <c r="H156" i="3"/>
  <c r="H140" i="3"/>
  <c r="H124" i="3"/>
  <c r="H108" i="3"/>
  <c r="H92" i="3"/>
  <c r="H76" i="3"/>
  <c r="H60" i="3"/>
  <c r="H52" i="3"/>
  <c r="H44" i="3"/>
  <c r="H36" i="3"/>
  <c r="H28" i="3"/>
  <c r="H20" i="3"/>
  <c r="H12" i="3"/>
  <c r="H403" i="3"/>
  <c r="H399" i="3"/>
  <c r="H395" i="3"/>
  <c r="H391" i="3"/>
  <c r="H387" i="3"/>
  <c r="H383" i="3"/>
  <c r="H379" i="3"/>
  <c r="H375" i="3"/>
  <c r="H371" i="3"/>
  <c r="H367" i="3"/>
  <c r="H363" i="3"/>
  <c r="H359" i="3"/>
  <c r="H355" i="3"/>
  <c r="H351" i="3"/>
  <c r="H347" i="3"/>
  <c r="H343" i="3"/>
  <c r="H339" i="3"/>
  <c r="H335" i="3"/>
  <c r="H331" i="3"/>
  <c r="H327" i="3"/>
  <c r="H323" i="3"/>
  <c r="H319" i="3"/>
  <c r="H315" i="3"/>
  <c r="H311" i="3"/>
  <c r="H307" i="3"/>
  <c r="H303" i="3"/>
  <c r="H299" i="3"/>
  <c r="H295" i="3"/>
  <c r="H291" i="3"/>
  <c r="H287" i="3"/>
  <c r="H283" i="3"/>
  <c r="H279" i="3"/>
  <c r="H275" i="3"/>
  <c r="H271" i="3"/>
  <c r="H267" i="3"/>
  <c r="H263" i="3"/>
  <c r="H259" i="3"/>
  <c r="H255" i="3"/>
  <c r="H251" i="3"/>
  <c r="H247" i="3"/>
  <c r="H243" i="3"/>
  <c r="H239" i="3"/>
  <c r="H235" i="3"/>
  <c r="H231" i="3"/>
  <c r="H227" i="3"/>
  <c r="H223" i="3"/>
  <c r="H219" i="3"/>
  <c r="H215" i="3"/>
  <c r="H211" i="3"/>
  <c r="H207" i="3"/>
  <c r="H203" i="3"/>
  <c r="H199" i="3"/>
  <c r="H195" i="3"/>
  <c r="H191" i="3"/>
  <c r="H187" i="3"/>
  <c r="H183" i="3"/>
  <c r="H179" i="3"/>
  <c r="H175" i="3"/>
  <c r="H171" i="3"/>
  <c r="H167" i="3"/>
  <c r="H163" i="3"/>
  <c r="H159" i="3"/>
  <c r="H155" i="3"/>
  <c r="H151" i="3"/>
  <c r="H147" i="3"/>
  <c r="H143" i="3"/>
  <c r="H139" i="3"/>
  <c r="H135" i="3"/>
  <c r="H131" i="3"/>
  <c r="H127" i="3"/>
  <c r="H123" i="3"/>
  <c r="H119" i="3"/>
  <c r="H115" i="3"/>
  <c r="H111" i="3"/>
  <c r="H107" i="3"/>
  <c r="H103" i="3"/>
  <c r="H99" i="3"/>
  <c r="H95" i="3"/>
  <c r="H91" i="3"/>
  <c r="H87" i="3"/>
  <c r="H83" i="3"/>
  <c r="H79" i="3"/>
  <c r="H75" i="3"/>
  <c r="H71" i="3"/>
  <c r="H67" i="3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697" i="1" l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<sst xmlns="http://schemas.openxmlformats.org/spreadsheetml/2006/main" count="2107" uniqueCount="595">
  <si>
    <t>Nonpublic Administrative Cost Reimbursement Payment Report</t>
  </si>
  <si>
    <t>Payment 1 of 3</t>
  </si>
  <si>
    <t xml:space="preserve"> IRN</t>
  </si>
  <si>
    <t xml:space="preserve"> NONPUBLIC SCHOOL</t>
  </si>
  <si>
    <t>FUNDED ADM TOTAL</t>
  </si>
  <si>
    <t xml:space="preserve"> ADMIN COST MAX REIMBURSEMENT</t>
  </si>
  <si>
    <t xml:space="preserve"> ADMIN COST PAID AMOUNT</t>
  </si>
  <si>
    <t>Al Ihsan Islamic School</t>
  </si>
  <si>
    <t>Holy Trinity Orthodox Christian Academy</t>
  </si>
  <si>
    <t>Columbus Adventist Academy</t>
  </si>
  <si>
    <t>Saint Martin de Porres High School</t>
  </si>
  <si>
    <t>Guiding Shepherd Christian School</t>
  </si>
  <si>
    <t>Liberty Christian Academy - East Campus</t>
  </si>
  <si>
    <t>Lebanon Christian School</t>
  </si>
  <si>
    <t>Risen Christ Lutheran School</t>
  </si>
  <si>
    <t>Le Chaperon Rouge- Hudson Campus</t>
  </si>
  <si>
    <t>Parma Montessori School and Child Care Center</t>
  </si>
  <si>
    <t>Cincinnati Hills Christian Academy- the Edyth B. Lindner Ele</t>
  </si>
  <si>
    <t>Linworth Children's Center</t>
  </si>
  <si>
    <t>Temple Christian School</t>
  </si>
  <si>
    <t>The CinDay Academy</t>
  </si>
  <si>
    <t>Worthington Adventist Academy</t>
  </si>
  <si>
    <t>Ohio Valley Christian School</t>
  </si>
  <si>
    <t>Discovery Express School</t>
  </si>
  <si>
    <t>Heaven's Treasures Academy</t>
  </si>
  <si>
    <t>Bethlehem Christian Academy</t>
  </si>
  <si>
    <t xml:space="preserve">The Goddard School </t>
  </si>
  <si>
    <t>Lawrence School-Upper School Campus</t>
  </si>
  <si>
    <t>Creative World of Montessori</t>
  </si>
  <si>
    <t>Islamic Academy of Youngstown</t>
  </si>
  <si>
    <t>Al Ihsan School</t>
  </si>
  <si>
    <t>Sts. Peter and Paul Academy</t>
  </si>
  <si>
    <t>Genoa Christian Academy</t>
  </si>
  <si>
    <t>Coshocton Christian School</t>
  </si>
  <si>
    <t>Monclova Christian School</t>
  </si>
  <si>
    <t>Bishop John King Mussio Central Junior High School</t>
  </si>
  <si>
    <t>Kinder Garden School, West Chester</t>
  </si>
  <si>
    <t>Northside Christian Academy</t>
  </si>
  <si>
    <t>Jacob Sapirstein Campus - Hebrew Academy of Cleveland</t>
  </si>
  <si>
    <t>Wilmington Christian Academy</t>
  </si>
  <si>
    <t>Paint Creek Academy</t>
  </si>
  <si>
    <t>Hillsboro Christian Academy</t>
  </si>
  <si>
    <t>Ross County Christian Academy</t>
  </si>
  <si>
    <t>Cornerstone Christian Academy</t>
  </si>
  <si>
    <t>Grace Community School</t>
  </si>
  <si>
    <t>Le Chaperon Rouge - Independence</t>
  </si>
  <si>
    <t>DePaul Cristo Rey High School</t>
  </si>
  <si>
    <t>Haugland Learning Center - Sandusky</t>
  </si>
  <si>
    <t>Crossroads Christian Academy</t>
  </si>
  <si>
    <t>The Center for Autism and Dyslexia</t>
  </si>
  <si>
    <t>The Center for Autism and Dyslexia Findlay</t>
  </si>
  <si>
    <t>Westside Christian Academy</t>
  </si>
  <si>
    <t>Center for Adolescent Services</t>
  </si>
  <si>
    <t>Montgomery County Juvenile Court Detention Center</t>
  </si>
  <si>
    <t>Cristo Rey Columbus High School</t>
  </si>
  <si>
    <t>Spectrum Resource Center and School</t>
  </si>
  <si>
    <t>Fountain City Christian School</t>
  </si>
  <si>
    <t>Haugland Learning Center-Dublin</t>
  </si>
  <si>
    <t>Creative World of Montessori-Beavercreek</t>
  </si>
  <si>
    <t>The Bridge Avenue School</t>
  </si>
  <si>
    <t>Portsmouth Stem Academy</t>
  </si>
  <si>
    <t>Le Chaperon Rouge - Solon</t>
  </si>
  <si>
    <t>The Golden Key Center for Exceptional Children</t>
  </si>
  <si>
    <t>Dominion Academy of Dayton</t>
  </si>
  <si>
    <t>Haugland Learning Center Lancaster</t>
  </si>
  <si>
    <t>ACLD School</t>
  </si>
  <si>
    <t>Creative World of Montessori-Wilmington Pike</t>
  </si>
  <si>
    <t>Northern Ohio Adventist Academy</t>
  </si>
  <si>
    <t>Highland Community Learning Center</t>
  </si>
  <si>
    <t>New Horizons Academy at Sara's Garden</t>
  </si>
  <si>
    <t>STEPS Academy</t>
  </si>
  <si>
    <t>Al Pi Darko Initiative</t>
  </si>
  <si>
    <t>Julie Billiart School of St Sebastian Parish</t>
  </si>
  <si>
    <t>The Reserve School</t>
  </si>
  <si>
    <t>Canton Montessori Association</t>
  </si>
  <si>
    <t>Yeshiva Derech Hatorah</t>
  </si>
  <si>
    <t>GEC School</t>
  </si>
  <si>
    <t>The Goddard School of Centerville</t>
  </si>
  <si>
    <t>Yeshiva High School of Cleveland</t>
  </si>
  <si>
    <t>The Learning Spectrum</t>
  </si>
  <si>
    <t>Fugees Academy</t>
  </si>
  <si>
    <t>Cincinnati Waldorf High School</t>
  </si>
  <si>
    <t>Bethel Christian Academy</t>
  </si>
  <si>
    <t>Christian Life Academy</t>
  </si>
  <si>
    <t xml:space="preserve">Andrews Osborne Academy </t>
  </si>
  <si>
    <t>Archbishop Alter</t>
  </si>
  <si>
    <t>Archbishop Hoban</t>
  </si>
  <si>
    <t>Stephen T Badin</t>
  </si>
  <si>
    <t>Beaumont School</t>
  </si>
  <si>
    <t>Benedictine</t>
  </si>
  <si>
    <t>Wm V Fisher Catholic</t>
  </si>
  <si>
    <t>Bishop Hartley</t>
  </si>
  <si>
    <t>Bishop Ready</t>
  </si>
  <si>
    <t>Bishop Rosecrans</t>
  </si>
  <si>
    <t>Bishop Watterson</t>
  </si>
  <si>
    <t>Calvert Catholic Schools</t>
  </si>
  <si>
    <t>Cardinal Mooney</t>
  </si>
  <si>
    <t>Cardinal Stritch Catholic High School &amp; Academy</t>
  </si>
  <si>
    <t>Carroll</t>
  </si>
  <si>
    <t>Catholic Central</t>
  </si>
  <si>
    <t>Central Catholic</t>
  </si>
  <si>
    <t>Central Christian</t>
  </si>
  <si>
    <t>Chaminade-Julienne</t>
  </si>
  <si>
    <t>Cincinnati Country Day</t>
  </si>
  <si>
    <t>Seven Hills School</t>
  </si>
  <si>
    <t>Columbus Academy</t>
  </si>
  <si>
    <t>Columbus School For Girls</t>
  </si>
  <si>
    <t>Spring Valley Academy</t>
  </si>
  <si>
    <t>Elder</t>
  </si>
  <si>
    <t>Elyria Catholic</t>
  </si>
  <si>
    <t>Bishop Fenwick</t>
  </si>
  <si>
    <t>Gilmour Academy</t>
  </si>
  <si>
    <t>Aldersgate Christian Academy</t>
  </si>
  <si>
    <t>Hathaway Brown</t>
  </si>
  <si>
    <t>Hawken School</t>
  </si>
  <si>
    <t>Hebrew Academy Of Cleveland</t>
  </si>
  <si>
    <t>Lehman High School</t>
  </si>
  <si>
    <t>Central Catholic Tuscarawas Co</t>
  </si>
  <si>
    <t>John F Kennedy Catholic Upper School</t>
  </si>
  <si>
    <t>Lasalle</t>
  </si>
  <si>
    <t>Lima Central Catholic</t>
  </si>
  <si>
    <t>Lutheran East</t>
  </si>
  <si>
    <t>Lutheran West</t>
  </si>
  <si>
    <t>Magnificat</t>
  </si>
  <si>
    <t>Trinity</t>
  </si>
  <si>
    <t>Mercy McAuley High School</t>
  </si>
  <si>
    <t>McNicholas</t>
  </si>
  <si>
    <t>Moeller</t>
  </si>
  <si>
    <t>Mount Notre Dame</t>
  </si>
  <si>
    <t>Holy Name High School</t>
  </si>
  <si>
    <t>Newark Catholic</t>
  </si>
  <si>
    <t>Notre Dame Jr/Sr</t>
  </si>
  <si>
    <t>Notre Dame-Cathedral Latin</t>
  </si>
  <si>
    <t>Notre Dame Academy</t>
  </si>
  <si>
    <t>Padua Franciscan</t>
  </si>
  <si>
    <t>Purcell-Marian</t>
  </si>
  <si>
    <t>Roger Bacon</t>
  </si>
  <si>
    <t>Rosemont Center</t>
  </si>
  <si>
    <t>St Charles Preparatory</t>
  </si>
  <si>
    <t>St Edward</t>
  </si>
  <si>
    <t>St Francis De Sales</t>
  </si>
  <si>
    <t>St Francis De Sales School</t>
  </si>
  <si>
    <t>St Joan Of Arc</t>
  </si>
  <si>
    <t>St Ignatius High School</t>
  </si>
  <si>
    <t>Saint John School</t>
  </si>
  <si>
    <t>St John Elementary and High School</t>
  </si>
  <si>
    <t>St John Central</t>
  </si>
  <si>
    <t>Villa Angela-St Joseph</t>
  </si>
  <si>
    <t>Bishop Hoffman Catholic, St Joseph Central Catholic HS</t>
  </si>
  <si>
    <t>St Joseph Academy</t>
  </si>
  <si>
    <t>St Joseph Central</t>
  </si>
  <si>
    <t>Sandusky Central Catholic School</t>
  </si>
  <si>
    <t>Norwalk Catholic School</t>
  </si>
  <si>
    <t>St Peter High School and Junior High School</t>
  </si>
  <si>
    <t>St Rita School for the Deaf</t>
  </si>
  <si>
    <t>St Thomas Aquinas</t>
  </si>
  <si>
    <t>St Ursula Academy</t>
  </si>
  <si>
    <t>St Vincent St Mary</t>
  </si>
  <si>
    <t>St Wendelin Catholic School</t>
  </si>
  <si>
    <t>St Xavier</t>
  </si>
  <si>
    <t>Seton</t>
  </si>
  <si>
    <t>Summit Country Day</t>
  </si>
  <si>
    <t>Telshe</t>
  </si>
  <si>
    <t>The University School - College Prep</t>
  </si>
  <si>
    <t>Ursuline</t>
  </si>
  <si>
    <t>Ursuline Academy</t>
  </si>
  <si>
    <t>Western Reserve Academy</t>
  </si>
  <si>
    <t>Cleveland Central Catholic</t>
  </si>
  <si>
    <t>St John's Jesuit</t>
  </si>
  <si>
    <t>Clifton Christian Academy</t>
  </si>
  <si>
    <t>Mount Vernon Seventh-Day Adven</t>
  </si>
  <si>
    <t>Toledo Junior Academy</t>
  </si>
  <si>
    <t>Mayfair Christian School</t>
  </si>
  <si>
    <t>All Saints</t>
  </si>
  <si>
    <t>Annunciation</t>
  </si>
  <si>
    <t>Ascension</t>
  </si>
  <si>
    <t>Cardinal Pacelli</t>
  </si>
  <si>
    <t>St. Benedict the Moor Catholic School</t>
  </si>
  <si>
    <t>St Andrew/St Elizabeth A Seton</t>
  </si>
  <si>
    <t>Guardian Angels</t>
  </si>
  <si>
    <t>Holy Angels</t>
  </si>
  <si>
    <t>Holy Family</t>
  </si>
  <si>
    <t>Holy Rosary</t>
  </si>
  <si>
    <t>Immaculate Conception</t>
  </si>
  <si>
    <t>Immaculate Heart Of Mary</t>
  </si>
  <si>
    <t>Incarnation</t>
  </si>
  <si>
    <t>Nativity</t>
  </si>
  <si>
    <t>Our Lady Of Lourdes</t>
  </si>
  <si>
    <t>Our Lady Of Rosary</t>
  </si>
  <si>
    <t>Our Lady Of Victory</t>
  </si>
  <si>
    <t>Our Lady Of Visitation</t>
  </si>
  <si>
    <t>Mother Maria Anna Brunner Catholic</t>
  </si>
  <si>
    <t>Queen Of Peace</t>
  </si>
  <si>
    <t>Resurrection</t>
  </si>
  <si>
    <t>Sacred Heart</t>
  </si>
  <si>
    <t>St Albert The Great</t>
  </si>
  <si>
    <t>St Aloysius Gonzaga</t>
  </si>
  <si>
    <t>St Aloysius Educational Center</t>
  </si>
  <si>
    <t>Our Lady of Grace Catholic School</t>
  </si>
  <si>
    <t>St Ann</t>
  </si>
  <si>
    <t>St Anthony</t>
  </si>
  <si>
    <t>St Antoninus</t>
  </si>
  <si>
    <t>John Paul II Catholic School</t>
  </si>
  <si>
    <t>St Bernadette</t>
  </si>
  <si>
    <t>St Bernard School</t>
  </si>
  <si>
    <t>St Boniface</t>
  </si>
  <si>
    <t>St Brigid</t>
  </si>
  <si>
    <t>St Catharine Of Siena</t>
  </si>
  <si>
    <t>St Cecilia</t>
  </si>
  <si>
    <t>St Charles Borromeo</t>
  </si>
  <si>
    <t>St Christopher</t>
  </si>
  <si>
    <t>St Clement</t>
  </si>
  <si>
    <t>St Columban</t>
  </si>
  <si>
    <t>St Dominic</t>
  </si>
  <si>
    <t>St Francis Desales</t>
  </si>
  <si>
    <t>St Francis Seraph</t>
  </si>
  <si>
    <t>St Gabriel</t>
  </si>
  <si>
    <t>Corryville Catholic</t>
  </si>
  <si>
    <t>St Gertrude</t>
  </si>
  <si>
    <t>St Helen</t>
  </si>
  <si>
    <t>St Ignatius Loyola</t>
  </si>
  <si>
    <t>St James</t>
  </si>
  <si>
    <t>St. John XXIII Catholic School</t>
  </si>
  <si>
    <t>St John The Baptist</t>
  </si>
  <si>
    <t>St Nicholas Academy</t>
  </si>
  <si>
    <t>St Joseph</t>
  </si>
  <si>
    <t>St Joseph Villa Academy Sn</t>
  </si>
  <si>
    <t>St Jude</t>
  </si>
  <si>
    <t>St Lawrence</t>
  </si>
  <si>
    <t>St Louis</t>
  </si>
  <si>
    <t>St Luke</t>
  </si>
  <si>
    <t>St Martin Of Tours</t>
  </si>
  <si>
    <t>St Mary</t>
  </si>
  <si>
    <t>Piqua Catholic Elementary</t>
  </si>
  <si>
    <t>St Michael Consolidated</t>
  </si>
  <si>
    <t>St Michael</t>
  </si>
  <si>
    <t>St Patrick</t>
  </si>
  <si>
    <t>St Peter</t>
  </si>
  <si>
    <t>St Peter In Chains</t>
  </si>
  <si>
    <t>St Susanna</t>
  </si>
  <si>
    <t>St Teresa Of Avila</t>
  </si>
  <si>
    <t>St Thomas More</t>
  </si>
  <si>
    <t>St Ursula Villa</t>
  </si>
  <si>
    <t>St Vincent Ferrer</t>
  </si>
  <si>
    <t>St Vivian</t>
  </si>
  <si>
    <t>St William</t>
  </si>
  <si>
    <t>Holy Name</t>
  </si>
  <si>
    <t>Our Lady Of Angels</t>
  </si>
  <si>
    <t>Mary Queen of Peace School</t>
  </si>
  <si>
    <t>Our Lady Of Mt Carmel West</t>
  </si>
  <si>
    <t>St Adalbert</t>
  </si>
  <si>
    <t>St Agatha-St Aloysius</t>
  </si>
  <si>
    <t>St Francis</t>
  </si>
  <si>
    <t>Archbishop Lyke-St Henry Campus</t>
  </si>
  <si>
    <t>St Ignatius</t>
  </si>
  <si>
    <t>St Jerome</t>
  </si>
  <si>
    <t>St Leo The Great</t>
  </si>
  <si>
    <t>St Mark</t>
  </si>
  <si>
    <t>St Rocco</t>
  </si>
  <si>
    <t>St Stanislaus</t>
  </si>
  <si>
    <t>Metro Catholic Parish</t>
  </si>
  <si>
    <t>St Mary Byzantine</t>
  </si>
  <si>
    <t>St Raphael</t>
  </si>
  <si>
    <t>Academy of St Adalbert</t>
  </si>
  <si>
    <t>Assumption</t>
  </si>
  <si>
    <t>Communion of Saints School</t>
  </si>
  <si>
    <t>Our Lady of the Lake School</t>
  </si>
  <si>
    <t>SS Robert and William School</t>
  </si>
  <si>
    <t>St Angela Merici</t>
  </si>
  <si>
    <t>St Benedict Catholic School</t>
  </si>
  <si>
    <t>St Francis Of Assisi</t>
  </si>
  <si>
    <t>St Paschal Baylon</t>
  </si>
  <si>
    <t>Lakewood Catholic Academy</t>
  </si>
  <si>
    <t>Corpus Christi Academy</t>
  </si>
  <si>
    <t>Academy Of St Bartholomew</t>
  </si>
  <si>
    <t>St Brendan</t>
  </si>
  <si>
    <t>St Mary Of The Falls</t>
  </si>
  <si>
    <t>St Anthony Of Padua</t>
  </si>
  <si>
    <t>Saint Bridget of Kildare School</t>
  </si>
  <si>
    <t>St Columbkille</t>
  </si>
  <si>
    <t>St Rita</t>
  </si>
  <si>
    <t>Sts Joseph &amp; John Interparochi</t>
  </si>
  <si>
    <t>Gesu Catholic School</t>
  </si>
  <si>
    <t>Julie Billiart</t>
  </si>
  <si>
    <t>Our Lady Of The Elms</t>
  </si>
  <si>
    <t>Incarnate Word Academy</t>
  </si>
  <si>
    <t>St Hilary</t>
  </si>
  <si>
    <t>St Mary Elementary</t>
  </si>
  <si>
    <t>St Matthew Parish School</t>
  </si>
  <si>
    <t>St Vincent De Paul</t>
  </si>
  <si>
    <t>Holy Trinity</t>
  </si>
  <si>
    <t>St Mary Immaculate Conception</t>
  </si>
  <si>
    <t>St Augustine</t>
  </si>
  <si>
    <t>St Ambrose</t>
  </si>
  <si>
    <t>Notre Dame School</t>
  </si>
  <si>
    <t>Sts Peter And Paul</t>
  </si>
  <si>
    <t>St Mary Of The Assumption</t>
  </si>
  <si>
    <t>St Barnabas</t>
  </si>
  <si>
    <t>Sacred Heart Of Jesus</t>
  </si>
  <si>
    <t>Mater Dei Academy</t>
  </si>
  <si>
    <t>Blessed Sacrament</t>
  </si>
  <si>
    <t>All Saints Academy</t>
  </si>
  <si>
    <t>Holy Spirit</t>
  </si>
  <si>
    <t>Our Lady Of Peace</t>
  </si>
  <si>
    <t>Our Lady Of Perpetual Help</t>
  </si>
  <si>
    <t>St Agatha</t>
  </si>
  <si>
    <t>St Andrew</t>
  </si>
  <si>
    <t>St Catharine</t>
  </si>
  <si>
    <t>St James The Less</t>
  </si>
  <si>
    <t>St John</t>
  </si>
  <si>
    <t>Tuscarawas Central Catholic Elementary School</t>
  </si>
  <si>
    <t>St Joseph Montessori</t>
  </si>
  <si>
    <t>Bishop Flaget School</t>
  </si>
  <si>
    <t>Notre Dame</t>
  </si>
  <si>
    <t>St Mary Magdalene</t>
  </si>
  <si>
    <t>St Matthew</t>
  </si>
  <si>
    <t>St Matthias</t>
  </si>
  <si>
    <t>Bishop Fenwick School</t>
  </si>
  <si>
    <t>St Paul</t>
  </si>
  <si>
    <t>St Pius X</t>
  </si>
  <si>
    <t>St Rose</t>
  </si>
  <si>
    <t>St Timothy</t>
  </si>
  <si>
    <t>St Benedict</t>
  </si>
  <si>
    <t>Bishop John King Mussio Central Elementary - Rosemont Campus</t>
  </si>
  <si>
    <t>St Mary Central</t>
  </si>
  <si>
    <t>St Sylvester</t>
  </si>
  <si>
    <t>Christ The King</t>
  </si>
  <si>
    <t>Gesu</t>
  </si>
  <si>
    <t>Our Lady Of Consolation</t>
  </si>
  <si>
    <t>Regina Coeli</t>
  </si>
  <si>
    <t>CCMT Catholic School</t>
  </si>
  <si>
    <t>St Aloysius</t>
  </si>
  <si>
    <t>St Bernard</t>
  </si>
  <si>
    <t>St Charles</t>
  </si>
  <si>
    <t>All Saints Catholic</t>
  </si>
  <si>
    <t>St Francis Xavier</t>
  </si>
  <si>
    <t>St Gerard</t>
  </si>
  <si>
    <t>Divine Mercy School</t>
  </si>
  <si>
    <t>Holy Cross Catholic School of Defiance</t>
  </si>
  <si>
    <t>St Mary Catholic School</t>
  </si>
  <si>
    <t>Holy Trinity, Assumption</t>
  </si>
  <si>
    <t>St Michael the Archangel School</t>
  </si>
  <si>
    <t>St Patrick Of Heatherdowns</t>
  </si>
  <si>
    <t>St Richard</t>
  </si>
  <si>
    <t>St Joseph The Provider</t>
  </si>
  <si>
    <t>Sts Philip And James</t>
  </si>
  <si>
    <t>St Barbara</t>
  </si>
  <si>
    <t>St Nicholas</t>
  </si>
  <si>
    <t>John F. Kennedy Catholic Lower School</t>
  </si>
  <si>
    <t>St Christine</t>
  </si>
  <si>
    <t>Bethany Lutheran School</t>
  </si>
  <si>
    <t>Immanuel Lutheran</t>
  </si>
  <si>
    <t>Lakewood Lutheran</t>
  </si>
  <si>
    <t>Luther Memorial</t>
  </si>
  <si>
    <t>Redeemer Lutheran</t>
  </si>
  <si>
    <t>St John Lutheran</t>
  </si>
  <si>
    <t>St Paul Lutheran</t>
  </si>
  <si>
    <t>St Thomas Lutheran</t>
  </si>
  <si>
    <t>Trinity Lutheran</t>
  </si>
  <si>
    <t>Messiah Lutheran</t>
  </si>
  <si>
    <t>Celeryville Christian</t>
  </si>
  <si>
    <t>Cincinnati Hebrew Day Chofetz</t>
  </si>
  <si>
    <t>Bethany</t>
  </si>
  <si>
    <t>Canton Country Day School</t>
  </si>
  <si>
    <t>Chapel Hill Christian North</t>
  </si>
  <si>
    <t>Hawken Lower-Middle</t>
  </si>
  <si>
    <t>Laurel School</t>
  </si>
  <si>
    <t>Maumee Valley Country Day</t>
  </si>
  <si>
    <t>Old Trail</t>
  </si>
  <si>
    <t>Solomon Lutheran</t>
  </si>
  <si>
    <t>Trinity Ev Lutheran</t>
  </si>
  <si>
    <t>The University School</t>
  </si>
  <si>
    <t>St Anselm</t>
  </si>
  <si>
    <t>St Sebastian</t>
  </si>
  <si>
    <t>Grand River Academy</t>
  </si>
  <si>
    <t>Lake Ridge Academy</t>
  </si>
  <si>
    <t>Walsh Jesuit</t>
  </si>
  <si>
    <t>Hillel Academy Of Dayton</t>
  </si>
  <si>
    <t>Urban Community</t>
  </si>
  <si>
    <t>Rockwern Academy</t>
  </si>
  <si>
    <t>Ridgewood School, The</t>
  </si>
  <si>
    <t>Columbus Torah Academy</t>
  </si>
  <si>
    <t>Lake Catholic</t>
  </si>
  <si>
    <t>Joseph and Florence Mandel Jewish Day School</t>
  </si>
  <si>
    <t>Lake Center Christian School</t>
  </si>
  <si>
    <t>Central Baptist Academy - Elementary</t>
  </si>
  <si>
    <t>The Childrens Home of Cincinnati</t>
  </si>
  <si>
    <t>Heritage Christian</t>
  </si>
  <si>
    <t>The Lippman School</t>
  </si>
  <si>
    <t>Ratner School, The</t>
  </si>
  <si>
    <t>Bishop Leibold E And W Campus</t>
  </si>
  <si>
    <t>Dayton Christian School</t>
  </si>
  <si>
    <t>Mercy Montessori Center</t>
  </si>
  <si>
    <t>Worthington Christian Westview Elementary School</t>
  </si>
  <si>
    <t>Legacy Christian Academy</t>
  </si>
  <si>
    <t>Springer School &amp; Center</t>
  </si>
  <si>
    <t>Cuyahoga Valley Christian Acad</t>
  </si>
  <si>
    <t>Mansfield Christian School</t>
  </si>
  <si>
    <t>The Miami Valley School</t>
  </si>
  <si>
    <t>Lial Catholic School</t>
  </si>
  <si>
    <t>St Veronica</t>
  </si>
  <si>
    <t>Ramah Junior Academy</t>
  </si>
  <si>
    <t>Delaware Christian</t>
  </si>
  <si>
    <t>Ashland Christian</t>
  </si>
  <si>
    <t>Valley Christian School</t>
  </si>
  <si>
    <t>Zion Lutheran</t>
  </si>
  <si>
    <t>Lawrence School</t>
  </si>
  <si>
    <t>First Baptist Christian</t>
  </si>
  <si>
    <t>East Liverpool Christian School</t>
  </si>
  <si>
    <t>Willo-Hill Christian School</t>
  </si>
  <si>
    <t>Zanesville Seventh-Day Advent</t>
  </si>
  <si>
    <t>Piqua Seventh-Day Adventist</t>
  </si>
  <si>
    <t>Eastwood Seventh-day Adventist Junior Academy</t>
  </si>
  <si>
    <t>Cincinnati Christian Schools</t>
  </si>
  <si>
    <t>Springfield Christian</t>
  </si>
  <si>
    <t>All Saints Of St John Vianney</t>
  </si>
  <si>
    <t>Ruffing Montessori Ingalls</t>
  </si>
  <si>
    <t>Ruffing Montessori Rocky River</t>
  </si>
  <si>
    <t>Discovery</t>
  </si>
  <si>
    <t>The New School</t>
  </si>
  <si>
    <t>Hudson Montessori</t>
  </si>
  <si>
    <t>Worthington Christian High School</t>
  </si>
  <si>
    <t>Chapel Hill Christian Green Campus</t>
  </si>
  <si>
    <t>Toledo Christian</t>
  </si>
  <si>
    <t>Valley Christian Academy</t>
  </si>
  <si>
    <t>Tree Of Life-Indianola Branch</t>
  </si>
  <si>
    <t>Middletown Christian</t>
  </si>
  <si>
    <t>Parma Heights Christian Acad</t>
  </si>
  <si>
    <t>Gross Schechter Day School</t>
  </si>
  <si>
    <t>Gahanna Christian Academy</t>
  </si>
  <si>
    <t>West Side Montessori</t>
  </si>
  <si>
    <t>Clintonville Academy</t>
  </si>
  <si>
    <t>Holy Cross Lutheran School</t>
  </si>
  <si>
    <t>Tree Of Life-Northridge Branch</t>
  </si>
  <si>
    <t>Marburn Academy</t>
  </si>
  <si>
    <t>Our Lady Of Bethlehem</t>
  </si>
  <si>
    <t>Grace Christian School</t>
  </si>
  <si>
    <t>Nicholas-Liberty</t>
  </si>
  <si>
    <t>Welsh Hills School</t>
  </si>
  <si>
    <t>Madison Christian School</t>
  </si>
  <si>
    <t>Medina Christian Academy</t>
  </si>
  <si>
    <t>The Wellington School</t>
  </si>
  <si>
    <t>Troy Christian Elementary School</t>
  </si>
  <si>
    <t>Open Door Christian Schools</t>
  </si>
  <si>
    <t>Worthington Christian Kindergarten/Middle School</t>
  </si>
  <si>
    <t>Victory Christian</t>
  </si>
  <si>
    <t>Our Shepherd Evangel Lutheran</t>
  </si>
  <si>
    <t>Sonshine Christian Academy</t>
  </si>
  <si>
    <t>Adams County Christian</t>
  </si>
  <si>
    <t>Montessori Children's School</t>
  </si>
  <si>
    <t>Calumet Christian</t>
  </si>
  <si>
    <t>Gilead Christian</t>
  </si>
  <si>
    <t>McGuffey Montessori School</t>
  </si>
  <si>
    <t>South Suburban Montessori</t>
  </si>
  <si>
    <t>Fuchs Mizrachi Of Cleveland</t>
  </si>
  <si>
    <t>Christian Star Academy</t>
  </si>
  <si>
    <t>Hershey Montessori</t>
  </si>
  <si>
    <t>Beautiful Savior Lutheran</t>
  </si>
  <si>
    <t>New Beginnings Christian</t>
  </si>
  <si>
    <t>Firelands Montessori Academy</t>
  </si>
  <si>
    <t>Children's Meeting House</t>
  </si>
  <si>
    <t>Polaris Christian Academy</t>
  </si>
  <si>
    <t>Xavier University Montessori</t>
  </si>
  <si>
    <t>Akiva Academy</t>
  </si>
  <si>
    <t>Eastern Hills Educational Bldg</t>
  </si>
  <si>
    <t>Fairfield Educational Building</t>
  </si>
  <si>
    <t>Blue Ash Educational Bldg</t>
  </si>
  <si>
    <t>Alexandria Montessori</t>
  </si>
  <si>
    <t>Dayton Montessori Society</t>
  </si>
  <si>
    <t>St Margaret Of York</t>
  </si>
  <si>
    <t>Linden Grove School</t>
  </si>
  <si>
    <t>Spring Garden</t>
  </si>
  <si>
    <t>Harvest Preparatory School</t>
  </si>
  <si>
    <t>The Montessori School of the Mahoning Valley</t>
  </si>
  <si>
    <t>Summit Christian School</t>
  </si>
  <si>
    <t>Canton Montessori</t>
  </si>
  <si>
    <t>Columbus Montessori Ed Ctr</t>
  </si>
  <si>
    <t>Nurtury</t>
  </si>
  <si>
    <t>Birchwood</t>
  </si>
  <si>
    <t>East Dayton Christian</t>
  </si>
  <si>
    <t>Salem Christian Academy, LLC</t>
  </si>
  <si>
    <t>Wooster Christian</t>
  </si>
  <si>
    <t>Mansion Day School - Excel Preparatory Schools</t>
  </si>
  <si>
    <t>Jefferson County Christian</t>
  </si>
  <si>
    <t>Eleanor Gerson Sn</t>
  </si>
  <si>
    <t>Miami Montessori School, The</t>
  </si>
  <si>
    <t>Martins Ferry Christian</t>
  </si>
  <si>
    <t>Cincinnati Hills Christian Academy</t>
  </si>
  <si>
    <t>East Richland Christian Schools</t>
  </si>
  <si>
    <t>Grove City Christian</t>
  </si>
  <si>
    <t>Nightingale Montessori Inc</t>
  </si>
  <si>
    <t>Montessori School of Bowling Green</t>
  </si>
  <si>
    <t>Le Chaperon Rouge-Westlake</t>
  </si>
  <si>
    <t>Willoughby Montessori Dayschl</t>
  </si>
  <si>
    <t>Arlington Christian Academy</t>
  </si>
  <si>
    <t>Christian Academy Schools</t>
  </si>
  <si>
    <t>Mansfield Seventh-Day Advent</t>
  </si>
  <si>
    <t>Solon Creative Playrooms</t>
  </si>
  <si>
    <t>Westlake Montessori</t>
  </si>
  <si>
    <t>Kingsway Christian</t>
  </si>
  <si>
    <t>Le Chaperon Rouge-Avon</t>
  </si>
  <si>
    <t>Le Chaperon Rouge-Strongsville</t>
  </si>
  <si>
    <t>Royal Redeemer Lutheran</t>
  </si>
  <si>
    <t>Gloria Dei Montessori</t>
  </si>
  <si>
    <t>Kids Country School</t>
  </si>
  <si>
    <t>Hitchcock Woods</t>
  </si>
  <si>
    <t>Weaver Child Development Center, Inc</t>
  </si>
  <si>
    <t>Central Montessori Academy</t>
  </si>
  <si>
    <t>Emmanuel Christian Academy</t>
  </si>
  <si>
    <t>Smoky Row Children's Center</t>
  </si>
  <si>
    <t>Village Christian Schools</t>
  </si>
  <si>
    <t>Altercrest Day Treatment</t>
  </si>
  <si>
    <t>Brice Christian Academy</t>
  </si>
  <si>
    <t>Nicholas School</t>
  </si>
  <si>
    <t>Montessori Center of South Dayton</t>
  </si>
  <si>
    <t>Terry's Montessori School</t>
  </si>
  <si>
    <t>Miracle City Academy</t>
  </si>
  <si>
    <t>Decolores Montessori School</t>
  </si>
  <si>
    <t>Pike Christian Academy</t>
  </si>
  <si>
    <t>Cypress Christian</t>
  </si>
  <si>
    <t>St Brigid Of Kildare</t>
  </si>
  <si>
    <t>Children's House-Delhi, The</t>
  </si>
  <si>
    <t>Gloria S Friend Christian Academy</t>
  </si>
  <si>
    <t>Heartland Christian School</t>
  </si>
  <si>
    <t>Troy Christian High School</t>
  </si>
  <si>
    <t>Safely Home</t>
  </si>
  <si>
    <t>Granville Christian Academy</t>
  </si>
  <si>
    <t>Akron Montessori</t>
  </si>
  <si>
    <t>Sunrise Academy</t>
  </si>
  <si>
    <t>Seton Catholic</t>
  </si>
  <si>
    <t>Miami Valley Christian Academy</t>
  </si>
  <si>
    <t>Montessori Academy of Cincinnati</t>
  </si>
  <si>
    <t>Columbus Jewish Day School</t>
  </si>
  <si>
    <t>Kids Country</t>
  </si>
  <si>
    <t>Tree Of Life-Dublin Branch</t>
  </si>
  <si>
    <t>Golden Bridge Academy</t>
  </si>
  <si>
    <t>Hanna Perkins</t>
  </si>
  <si>
    <t>Shepherd Christian</t>
  </si>
  <si>
    <t>Hillcrest Training School</t>
  </si>
  <si>
    <t>Emmanuel  Christian School</t>
  </si>
  <si>
    <t>Springs East School</t>
  </si>
  <si>
    <t>Childrens House-Kdg-Bridgetown</t>
  </si>
  <si>
    <t>Ohio Valley Voices</t>
  </si>
  <si>
    <t>Royalmont Academy</t>
  </si>
  <si>
    <t>Goddard School-Kindergarten</t>
  </si>
  <si>
    <t>Rainbow Child Care Center</t>
  </si>
  <si>
    <t>Hershey Montessori Farm School</t>
  </si>
  <si>
    <t>St Mark's Evangelical Lutheran</t>
  </si>
  <si>
    <t>International Academy Of Cincinnati, Inc.</t>
  </si>
  <si>
    <t>Montessori School of Wooster</t>
  </si>
  <si>
    <t>Kids Country-Green Campus</t>
  </si>
  <si>
    <t>Potential Development/Autism</t>
  </si>
  <si>
    <t>Bright Beginnings</t>
  </si>
  <si>
    <t>Creative Playrooms Strongsvill</t>
  </si>
  <si>
    <t>Cleveland Clinic Lerner School for Autism</t>
  </si>
  <si>
    <t>Holy Cross Prek And Kdg</t>
  </si>
  <si>
    <t>Monarch School of Bellefaire JCB</t>
  </si>
  <si>
    <t>The Children's Academy of Mason Inc.</t>
  </si>
  <si>
    <t>All The Children Of The World Academy</t>
  </si>
  <si>
    <t>St Mary Catholic</t>
  </si>
  <si>
    <t>Minerva Area Christian</t>
  </si>
  <si>
    <t>Cincinnati Hills-Otto Armleder</t>
  </si>
  <si>
    <t>Logan Christian School</t>
  </si>
  <si>
    <t>Mother Teresa Catholic</t>
  </si>
  <si>
    <t>Cincinnati Waldorf School</t>
  </si>
  <si>
    <t>Harambee Christian</t>
  </si>
  <si>
    <t>Central College Christian Academy</t>
  </si>
  <si>
    <t>Toledo Islamic Academy</t>
  </si>
  <si>
    <t>Ursuline Preschool &amp; Kindergar</t>
  </si>
  <si>
    <t>Cornerstone Community</t>
  </si>
  <si>
    <t>Cleveland Montessori</t>
  </si>
  <si>
    <t>Fairfield Christian Academy</t>
  </si>
  <si>
    <t>New Hope Christian Academy</t>
  </si>
  <si>
    <t>Dayton Islamic School, Inc</t>
  </si>
  <si>
    <t>Joyland Presch &amp; Kindergarten</t>
  </si>
  <si>
    <t>Schilling School For Gifted</t>
  </si>
  <si>
    <t>The Good Shepherd Catholic Montessori</t>
  </si>
  <si>
    <t>Bowling Green Christian Acdmy</t>
  </si>
  <si>
    <t>Bethlehem Lutheran School</t>
  </si>
  <si>
    <t>Beatrice J. Stone Yavne</t>
  </si>
  <si>
    <t>Liberty Bible Academy</t>
  </si>
  <si>
    <t>The Islamic School of Greater Toledo</t>
  </si>
  <si>
    <t>Faith Islamic Academy</t>
  </si>
  <si>
    <t>$427.43 per pupil amount</t>
  </si>
  <si>
    <t>NOVEMBER PAYMENT</t>
  </si>
  <si>
    <t>FEBRUARY PAYMENT</t>
  </si>
  <si>
    <t>FY2020: November Payment</t>
  </si>
  <si>
    <t>FY2020: February Payment</t>
  </si>
  <si>
    <t>Payment 2 of 3</t>
  </si>
  <si>
    <t>TOTAL PAYMENTS</t>
  </si>
  <si>
    <t>$379.99 per pupil amount paid (budget reduction)</t>
  </si>
  <si>
    <t xml:space="preserve"> INITIAL ADMIN COST MAX REIMBURSEMENT 
($427.43 PER PUPIL MAX)</t>
  </si>
  <si>
    <t>MAY PAYMENT 
(BUDGET REDUCTION)</t>
  </si>
  <si>
    <t>Payment 3 of 3</t>
  </si>
  <si>
    <t>FY2020: May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</si>
</sst>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6"/>
      </left>
      <right style="thin">
        <color theme="6"/>
      </right>
      <top/>
      <bottom style="medium">
        <color theme="6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7">
    <xf numFmtId="0" fontId="0" fillId="0" borderId="0" xfId="0"/>
    <xf numFmtId="0" fontId="4" fillId="0" borderId="1" xfId="0" applyFont="1" applyBorder="1" applyAlignment="1">
      <alignment wrapText="1"/>
    </xf>
    <xf numFmtId="0" fontId="1" fillId="0" borderId="0" xfId="1" applyAlignment="1">
      <alignment horizontal="center"/>
    </xf>
    <xf numFmtId="0" fontId="2" fillId="0" borderId="0" xfId="2" applyAlignment="1">
      <alignment horizontal="center"/>
    </xf>
    <xf numFmtId="8" fontId="3" fillId="0" borderId="0" xfId="3" applyNumberFormat="1" applyAlignment="1">
      <alignment horizontal="center"/>
    </xf>
    <xf numFmtId="0" fontId="3" fillId="0" borderId="0" xfId="3" applyAlignment="1">
      <alignment horizontal="center"/>
    </xf>
    <xf numFmtId="44" fontId="0" fillId="0" borderId="0" xfId="4" applyFont="1"/>
  </cellXfs>
  <cellStyles count="5">
    <cellStyle name="Currency" xfId="4" builtinId="4"/>
    <cellStyle name="Explanatory Text" xfId="3" builtinId="53"/>
    <cellStyle name="Heading 4" xfId="2" builtinId="19"/>
    <cellStyle name="Normal" xfId="0" builtinId="0"/>
    <cellStyle name="Title" xfId="1" builtinId="15"/>
  </cellStyles>
  <dxfs count="9">
    <dxf>
      <border outline="0">
        <bottom style="medium">
          <color theme="6"/>
        </bottom>
      </border>
    </dxf>
    <dxf>
      <border outline="0">
        <top style="thin">
          <color theme="6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/>
        <bottom/>
      </border>
    </dxf>
    <dxf>
      <border outline="0">
        <top style="thin">
          <color theme="6"/>
        </top>
      </border>
    </dxf>
    <dxf>
      <border outline="0">
        <bottom style="medium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/>
        <bottom/>
      </border>
    </dxf>
    <dxf>
      <border outline="0">
        <top style="thin">
          <color theme="6"/>
        </top>
      </border>
    </dxf>
    <dxf>
      <border outline="0">
        <bottom style="medium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98" totalsRowShown="0" headerRowDxfId="8" headerRowBorderDxfId="7" tableBorderDxfId="6">
  <autoFilter ref="A5:E698" xr:uid="{00000000-0009-0000-0100-000001000000}"/>
  <tableColumns count="5">
    <tableColumn id="1" xr3:uid="{00000000-0010-0000-0000-000001000000}" name=" IRN"/>
    <tableColumn id="2" xr3:uid="{00000000-0010-0000-0000-000002000000}" name=" NONPUBLIC SCHOOL"/>
    <tableColumn id="3" xr3:uid="{00000000-0010-0000-0000-000003000000}" name="FUNDED ADM TOTAL"/>
    <tableColumn id="4" xr3:uid="{00000000-0010-0000-0000-000004000000}" name=" ADMIN COST MAX REIMBURSEMENT"/>
    <tableColumn id="5" xr3:uid="{00000000-0010-0000-0000-000005000000}" name=" ADMIN COST PAID AMOUNT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5:F698" totalsRowShown="0" headerRowDxfId="5" headerRowBorderDxfId="4" tableBorderDxfId="3">
  <autoFilter ref="A5:F698" xr:uid="{00000000-0009-0000-0100-000002000000}"/>
  <tableColumns count="6">
    <tableColumn id="1" xr3:uid="{00000000-0010-0000-0100-000001000000}" name=" IRN"/>
    <tableColumn id="2" xr3:uid="{00000000-0010-0000-0100-000002000000}" name=" NONPUBLIC SCHOOL"/>
    <tableColumn id="3" xr3:uid="{00000000-0010-0000-0100-000003000000}" name="FUNDED ADM TOTAL"/>
    <tableColumn id="4" xr3:uid="{00000000-0010-0000-0100-000004000000}" name=" ADMIN COST MAX REIMBURSEMENT"/>
    <tableColumn id="5" xr3:uid="{00000000-0010-0000-0100-000005000000}" name="NOVEMBER PAYMENT"/>
    <tableColumn id="7" xr3:uid="{00000000-0010-0000-0100-000007000000}" name="FEBRUARY PAYMENT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91D475-FB8D-44CC-9F36-275E5DB065EB}" name="Table134" displayName="Table134" ref="A5:H697" totalsRowShown="0" headerRowDxfId="2" headerRowBorderDxfId="0" tableBorderDxfId="1">
  <autoFilter ref="A5:H697" xr:uid="{9E52350D-8F33-42D4-8310-DBAE4EEA939D}"/>
  <tableColumns count="8">
    <tableColumn id="1" xr3:uid="{90F3F79A-5E8E-4B8C-A89A-2FF23C495A78}" name=" IRN"/>
    <tableColumn id="2" xr3:uid="{7E42CD3E-24CA-4C4F-ABA6-804C42E09947}" name=" NONPUBLIC SCHOOL"/>
    <tableColumn id="3" xr3:uid="{DA58BC8C-CD40-417D-819C-D11FB403B414}" name="FUNDED ADM TOTAL"/>
    <tableColumn id="4" xr3:uid="{E2E12FA5-0604-49D6-A3E6-3034A6CCE397}" name=" INITIAL ADMIN COST MAX REIMBURSEMENT _x000a_($427.43 PER PUPIL MAX)" dataCellStyle="Currency"/>
    <tableColumn id="5" xr3:uid="{77457CBE-DBF7-413B-94E7-19FA280A7C53}" name="NOVEMBER PAYMENT" dataCellStyle="Currency"/>
    <tableColumn id="7" xr3:uid="{769654E3-6DF3-4C6A-9E56-CA293FA68CAA}" name="FEBRUARY PAYMENT" dataCellStyle="Currency"/>
    <tableColumn id="6" xr3:uid="{5DEFDE50-F2CE-4BDF-86D6-A36F1BCEE9C3}" name="MAY PAYMENT _x000a_(BUDGET REDUCTION)" dataCellStyle="Currency"/>
    <tableColumn id="8" xr3:uid="{B7C389D0-0427-4895-BF55-651F54D91E11}" name="TOTAL PAYMENTS" dataCellStyle="Currency">
      <calculatedColumnFormula>SUM(Table134[[#This Row],[NOVEMBER PAYMENT]:[MAY PAYMENT 
(BUDGET REDUCTION)]])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97"/>
  <sheetViews>
    <sheetView workbookViewId="0">
      <selection activeCell="D6" sqref="D6:E697"/>
    </sheetView>
  </sheetViews>
  <sheetFormatPr defaultRowHeight="15" x14ac:dyDescent="0.25"/>
  <cols>
    <col min="2" max="2" width="21.7109375" customWidth="1"/>
    <col min="3" max="3" width="21.42578125" customWidth="1"/>
    <col min="4" max="4" width="35.7109375" customWidth="1"/>
    <col min="5" max="5" width="28.5703125" customWidth="1"/>
  </cols>
  <sheetData>
    <row r="1" spans="1:5" ht="23.25" x14ac:dyDescent="0.35">
      <c r="A1" s="2" t="s">
        <v>0</v>
      </c>
      <c r="B1" s="2"/>
      <c r="C1" s="2"/>
      <c r="D1" s="2"/>
      <c r="E1" s="2"/>
    </row>
    <row r="2" spans="1:5" x14ac:dyDescent="0.25">
      <c r="A2" s="3" t="s">
        <v>586</v>
      </c>
      <c r="B2" s="3"/>
      <c r="C2" s="3"/>
      <c r="D2" s="3"/>
      <c r="E2" s="3"/>
    </row>
    <row r="3" spans="1:5" x14ac:dyDescent="0.25">
      <c r="A3" s="3" t="s">
        <v>1</v>
      </c>
      <c r="B3" s="3"/>
      <c r="C3" s="3"/>
      <c r="D3" s="3"/>
      <c r="E3" s="3"/>
    </row>
    <row r="4" spans="1:5" x14ac:dyDescent="0.25">
      <c r="A4" s="4" t="s">
        <v>583</v>
      </c>
      <c r="B4" s="5"/>
      <c r="C4" s="5"/>
      <c r="D4" s="5"/>
      <c r="E4" s="5"/>
    </row>
    <row r="5" spans="1:5" ht="15.75" thickBo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5" x14ac:dyDescent="0.25">
      <c r="A6" t="str">
        <f>"000176"</f>
        <v>000176</v>
      </c>
      <c r="B6" t="s">
        <v>7</v>
      </c>
      <c r="C6">
        <v>178</v>
      </c>
      <c r="D6" s="6">
        <v>76084.179999999993</v>
      </c>
      <c r="E6" s="6">
        <v>25107.78</v>
      </c>
    </row>
    <row r="7" spans="1:5" x14ac:dyDescent="0.25">
      <c r="A7" t="str">
        <f>"000204"</f>
        <v>000204</v>
      </c>
      <c r="B7" t="s">
        <v>8</v>
      </c>
      <c r="C7">
        <v>46</v>
      </c>
      <c r="D7" s="6">
        <v>19662.2</v>
      </c>
      <c r="E7" s="6">
        <v>6488.53</v>
      </c>
    </row>
    <row r="8" spans="1:5" x14ac:dyDescent="0.25">
      <c r="A8" t="str">
        <f>"000468"</f>
        <v>000468</v>
      </c>
      <c r="B8" t="s">
        <v>9</v>
      </c>
      <c r="C8">
        <v>152</v>
      </c>
      <c r="D8" s="6">
        <v>64970.76</v>
      </c>
      <c r="E8" s="6">
        <v>21440.35</v>
      </c>
    </row>
    <row r="9" spans="1:5" x14ac:dyDescent="0.25">
      <c r="A9" t="str">
        <f>"000476"</f>
        <v>000476</v>
      </c>
      <c r="B9" t="s">
        <v>10</v>
      </c>
      <c r="C9">
        <v>398</v>
      </c>
      <c r="D9" s="6">
        <v>170120.81</v>
      </c>
      <c r="E9" s="6">
        <v>56139.87</v>
      </c>
    </row>
    <row r="10" spans="1:5" x14ac:dyDescent="0.25">
      <c r="A10" t="str">
        <f>"000479"</f>
        <v>000479</v>
      </c>
      <c r="B10" t="s">
        <v>11</v>
      </c>
      <c r="C10">
        <v>25</v>
      </c>
      <c r="D10" s="6">
        <v>10685.98</v>
      </c>
      <c r="E10" s="6">
        <v>3526.37</v>
      </c>
    </row>
    <row r="11" spans="1:5" x14ac:dyDescent="0.25">
      <c r="A11" t="str">
        <f>"000551"</f>
        <v>000551</v>
      </c>
      <c r="B11" t="s">
        <v>12</v>
      </c>
      <c r="C11">
        <v>383</v>
      </c>
      <c r="D11" s="6">
        <v>163709.22</v>
      </c>
      <c r="E11" s="6">
        <v>54024.04</v>
      </c>
    </row>
    <row r="12" spans="1:5" x14ac:dyDescent="0.25">
      <c r="A12" t="str">
        <f>"000601"</f>
        <v>000601</v>
      </c>
      <c r="B12" t="s">
        <v>13</v>
      </c>
      <c r="C12">
        <v>211</v>
      </c>
      <c r="D12" s="6">
        <v>90189.68</v>
      </c>
      <c r="E12" s="6">
        <v>29762.59</v>
      </c>
    </row>
    <row r="13" spans="1:5" x14ac:dyDescent="0.25">
      <c r="A13" t="str">
        <f>"000660"</f>
        <v>000660</v>
      </c>
      <c r="B13" t="s">
        <v>14</v>
      </c>
      <c r="C13">
        <v>70</v>
      </c>
      <c r="D13" s="6">
        <v>29920.75</v>
      </c>
      <c r="E13" s="6">
        <v>9873.85</v>
      </c>
    </row>
    <row r="14" spans="1:5" x14ac:dyDescent="0.25">
      <c r="A14" t="str">
        <f>"000681"</f>
        <v>000681</v>
      </c>
      <c r="B14" t="s">
        <v>15</v>
      </c>
      <c r="C14">
        <v>6</v>
      </c>
      <c r="D14" s="6">
        <v>2210.9899999999998</v>
      </c>
      <c r="E14" s="6">
        <v>729.63</v>
      </c>
    </row>
    <row r="15" spans="1:5" x14ac:dyDescent="0.25">
      <c r="A15" t="str">
        <f>"007996"</f>
        <v>007996</v>
      </c>
      <c r="B15" t="s">
        <v>16</v>
      </c>
      <c r="C15">
        <v>7</v>
      </c>
      <c r="D15" s="6">
        <v>2992.07</v>
      </c>
      <c r="E15" s="6">
        <v>987.38</v>
      </c>
    </row>
    <row r="16" spans="1:5" x14ac:dyDescent="0.25">
      <c r="A16" t="str">
        <f>"008019"</f>
        <v>008019</v>
      </c>
      <c r="B16" t="s">
        <v>17</v>
      </c>
      <c r="C16">
        <v>223</v>
      </c>
      <c r="D16" s="6">
        <v>95318.95</v>
      </c>
      <c r="E16" s="6">
        <v>31455.25</v>
      </c>
    </row>
    <row r="17" spans="1:5" x14ac:dyDescent="0.25">
      <c r="A17" t="str">
        <f>"008070"</f>
        <v>008070</v>
      </c>
      <c r="B17" t="s">
        <v>18</v>
      </c>
      <c r="C17">
        <v>22</v>
      </c>
      <c r="D17" s="6">
        <v>9403.66</v>
      </c>
      <c r="E17" s="6">
        <v>3103.21</v>
      </c>
    </row>
    <row r="18" spans="1:5" x14ac:dyDescent="0.25">
      <c r="A18" t="str">
        <f>"008071"</f>
        <v>008071</v>
      </c>
      <c r="B18" t="s">
        <v>19</v>
      </c>
      <c r="C18">
        <v>214</v>
      </c>
      <c r="D18" s="6">
        <v>91471.99</v>
      </c>
      <c r="E18" s="6">
        <v>30185.759999999998</v>
      </c>
    </row>
    <row r="19" spans="1:5" x14ac:dyDescent="0.25">
      <c r="A19" t="str">
        <f>"008096"</f>
        <v>008096</v>
      </c>
      <c r="B19" t="s">
        <v>20</v>
      </c>
      <c r="C19">
        <v>191</v>
      </c>
      <c r="D19" s="6">
        <v>81640.89</v>
      </c>
      <c r="E19" s="6">
        <v>26941.49</v>
      </c>
    </row>
    <row r="20" spans="1:5" x14ac:dyDescent="0.25">
      <c r="A20" t="str">
        <f>"008163"</f>
        <v>008163</v>
      </c>
      <c r="B20" t="s">
        <v>21</v>
      </c>
      <c r="C20">
        <v>89</v>
      </c>
      <c r="D20" s="6">
        <v>38042.089999999997</v>
      </c>
      <c r="E20" s="6">
        <v>12553.89</v>
      </c>
    </row>
    <row r="21" spans="1:5" x14ac:dyDescent="0.25">
      <c r="A21" t="str">
        <f>"008246"</f>
        <v>008246</v>
      </c>
      <c r="B21" t="s">
        <v>22</v>
      </c>
      <c r="C21">
        <v>115</v>
      </c>
      <c r="D21" s="6">
        <v>49155.51</v>
      </c>
      <c r="E21" s="6">
        <v>16221.32</v>
      </c>
    </row>
    <row r="22" spans="1:5" x14ac:dyDescent="0.25">
      <c r="A22" t="str">
        <f>"008972"</f>
        <v>008972</v>
      </c>
      <c r="B22" t="s">
        <v>23</v>
      </c>
      <c r="C22">
        <v>14</v>
      </c>
      <c r="D22" s="6">
        <v>5984.15</v>
      </c>
      <c r="E22" s="6">
        <v>1974.77</v>
      </c>
    </row>
    <row r="23" spans="1:5" x14ac:dyDescent="0.25">
      <c r="A23" t="str">
        <f>"008973"</f>
        <v>008973</v>
      </c>
      <c r="B23" t="s">
        <v>24</v>
      </c>
      <c r="C23">
        <v>36</v>
      </c>
      <c r="D23" s="6">
        <v>10976.08</v>
      </c>
      <c r="E23" s="6">
        <v>3622.11</v>
      </c>
    </row>
    <row r="24" spans="1:5" x14ac:dyDescent="0.25">
      <c r="A24" t="str">
        <f>"009104"</f>
        <v>009104</v>
      </c>
      <c r="B24" t="s">
        <v>25</v>
      </c>
      <c r="C24">
        <v>44</v>
      </c>
      <c r="D24" s="6">
        <v>18807.330000000002</v>
      </c>
      <c r="E24" s="6">
        <v>6206.42</v>
      </c>
    </row>
    <row r="25" spans="1:5" x14ac:dyDescent="0.25">
      <c r="A25" t="str">
        <f>"009124"</f>
        <v>009124</v>
      </c>
      <c r="B25" t="s">
        <v>26</v>
      </c>
      <c r="C25">
        <v>24</v>
      </c>
      <c r="D25" s="6">
        <v>9564.67</v>
      </c>
      <c r="E25" s="6">
        <v>3156.34</v>
      </c>
    </row>
    <row r="26" spans="1:5" x14ac:dyDescent="0.25">
      <c r="A26" t="str">
        <f>"009270"</f>
        <v>009270</v>
      </c>
      <c r="B26" t="s">
        <v>27</v>
      </c>
      <c r="C26">
        <v>243</v>
      </c>
      <c r="D26" s="6">
        <v>103867.73</v>
      </c>
      <c r="E26" s="6">
        <v>34276.35</v>
      </c>
    </row>
    <row r="27" spans="1:5" x14ac:dyDescent="0.25">
      <c r="A27" t="str">
        <f>"009374"</f>
        <v>009374</v>
      </c>
      <c r="B27" t="s">
        <v>28</v>
      </c>
      <c r="C27">
        <v>21</v>
      </c>
      <c r="D27" s="6">
        <v>8976.2199999999993</v>
      </c>
      <c r="E27" s="6">
        <v>2962.15</v>
      </c>
    </row>
    <row r="28" spans="1:5" x14ac:dyDescent="0.25">
      <c r="A28" t="str">
        <f>"009435"</f>
        <v>009435</v>
      </c>
      <c r="B28" t="s">
        <v>29</v>
      </c>
      <c r="C28">
        <v>42</v>
      </c>
      <c r="D28" s="6">
        <v>17952.45</v>
      </c>
      <c r="E28" s="6">
        <v>5924.31</v>
      </c>
    </row>
    <row r="29" spans="1:5" x14ac:dyDescent="0.25">
      <c r="A29" t="str">
        <f>"009443"</f>
        <v>009443</v>
      </c>
      <c r="B29" t="s">
        <v>30</v>
      </c>
      <c r="C29">
        <v>122</v>
      </c>
      <c r="D29" s="6">
        <v>52147.58</v>
      </c>
      <c r="E29" s="6">
        <v>17208.7</v>
      </c>
    </row>
    <row r="30" spans="1:5" x14ac:dyDescent="0.25">
      <c r="A30" t="str">
        <f>"009453"</f>
        <v>009453</v>
      </c>
      <c r="B30" t="s">
        <v>31</v>
      </c>
      <c r="C30">
        <v>145</v>
      </c>
      <c r="D30" s="6">
        <v>61978.69</v>
      </c>
      <c r="E30" s="6">
        <v>20452.97</v>
      </c>
    </row>
    <row r="31" spans="1:5" x14ac:dyDescent="0.25">
      <c r="A31" t="str">
        <f>"009467"</f>
        <v>009467</v>
      </c>
      <c r="B31" t="s">
        <v>32</v>
      </c>
      <c r="C31">
        <v>289</v>
      </c>
      <c r="D31" s="6">
        <v>116876.97</v>
      </c>
      <c r="E31" s="6">
        <v>38569.4</v>
      </c>
    </row>
    <row r="32" spans="1:5" x14ac:dyDescent="0.25">
      <c r="A32" t="str">
        <f>"009484"</f>
        <v>009484</v>
      </c>
      <c r="B32" t="s">
        <v>33</v>
      </c>
      <c r="C32">
        <v>91</v>
      </c>
      <c r="D32" s="6">
        <v>38896.97</v>
      </c>
      <c r="E32" s="6">
        <v>12836</v>
      </c>
    </row>
    <row r="33" spans="1:5" x14ac:dyDescent="0.25">
      <c r="A33" t="str">
        <f>"009485"</f>
        <v>009485</v>
      </c>
      <c r="B33" t="s">
        <v>34</v>
      </c>
      <c r="C33">
        <v>202</v>
      </c>
      <c r="D33" s="6">
        <v>86342.720000000001</v>
      </c>
      <c r="E33" s="6">
        <v>28493.1</v>
      </c>
    </row>
    <row r="34" spans="1:5" x14ac:dyDescent="0.25">
      <c r="A34" t="str">
        <f>"010187"</f>
        <v>010187</v>
      </c>
      <c r="B34" t="s">
        <v>35</v>
      </c>
      <c r="C34">
        <v>103</v>
      </c>
      <c r="D34" s="6">
        <v>44026.239999999998</v>
      </c>
      <c r="E34" s="6">
        <v>14528.66</v>
      </c>
    </row>
    <row r="35" spans="1:5" x14ac:dyDescent="0.25">
      <c r="A35" t="str">
        <f>"010203"</f>
        <v>010203</v>
      </c>
      <c r="B35" t="s">
        <v>36</v>
      </c>
      <c r="C35">
        <v>20</v>
      </c>
      <c r="D35" s="6">
        <v>8548.7800000000007</v>
      </c>
      <c r="E35" s="6">
        <v>2821.1</v>
      </c>
    </row>
    <row r="36" spans="1:5" x14ac:dyDescent="0.25">
      <c r="A36" t="str">
        <f>"010210"</f>
        <v>010210</v>
      </c>
      <c r="B36" t="s">
        <v>37</v>
      </c>
      <c r="C36">
        <v>153</v>
      </c>
      <c r="D36" s="6">
        <v>65398.2</v>
      </c>
      <c r="E36" s="6">
        <v>21581.41</v>
      </c>
    </row>
    <row r="37" spans="1:5" x14ac:dyDescent="0.25">
      <c r="A37" t="str">
        <f>"010275"</f>
        <v>010275</v>
      </c>
      <c r="B37" t="s">
        <v>38</v>
      </c>
      <c r="C37">
        <v>237</v>
      </c>
      <c r="D37" s="6">
        <v>101303.09</v>
      </c>
      <c r="E37" s="6">
        <v>33430.019999999997</v>
      </c>
    </row>
    <row r="38" spans="1:5" x14ac:dyDescent="0.25">
      <c r="A38" t="str">
        <f>"010608"</f>
        <v>010608</v>
      </c>
      <c r="B38" t="s">
        <v>39</v>
      </c>
      <c r="C38">
        <v>123</v>
      </c>
      <c r="D38" s="6">
        <v>52575.02</v>
      </c>
      <c r="E38" s="6">
        <v>17349.759999999998</v>
      </c>
    </row>
    <row r="39" spans="1:5" x14ac:dyDescent="0.25">
      <c r="A39" t="str">
        <f>"011374"</f>
        <v>011374</v>
      </c>
      <c r="B39" t="s">
        <v>40</v>
      </c>
      <c r="C39">
        <v>43</v>
      </c>
      <c r="D39" s="6">
        <v>18379.89</v>
      </c>
      <c r="E39" s="6">
        <v>6065.36</v>
      </c>
    </row>
    <row r="40" spans="1:5" x14ac:dyDescent="0.25">
      <c r="A40" t="str">
        <f>"011492"</f>
        <v>011492</v>
      </c>
      <c r="B40" t="s">
        <v>41</v>
      </c>
      <c r="C40">
        <v>168</v>
      </c>
      <c r="D40" s="6">
        <v>71809.789999999994</v>
      </c>
      <c r="E40" s="6">
        <v>23697.23</v>
      </c>
    </row>
    <row r="41" spans="1:5" x14ac:dyDescent="0.25">
      <c r="A41" t="str">
        <f>"011576"</f>
        <v>011576</v>
      </c>
      <c r="B41" t="s">
        <v>42</v>
      </c>
      <c r="C41">
        <v>263</v>
      </c>
      <c r="D41" s="6">
        <v>112416.51</v>
      </c>
      <c r="E41" s="6">
        <v>37097.449999999997</v>
      </c>
    </row>
    <row r="42" spans="1:5" x14ac:dyDescent="0.25">
      <c r="A42" t="str">
        <f>"011933"</f>
        <v>011933</v>
      </c>
      <c r="B42" t="s">
        <v>44</v>
      </c>
      <c r="C42">
        <v>77</v>
      </c>
      <c r="D42" s="6">
        <v>32912.82</v>
      </c>
      <c r="E42" s="6">
        <v>10861.23</v>
      </c>
    </row>
    <row r="43" spans="1:5" x14ac:dyDescent="0.25">
      <c r="A43" t="str">
        <f>"012008"</f>
        <v>012008</v>
      </c>
      <c r="B43" t="s">
        <v>45</v>
      </c>
      <c r="C43">
        <v>18</v>
      </c>
      <c r="D43" s="6">
        <v>7693.91</v>
      </c>
      <c r="E43" s="6">
        <v>2538.9899999999998</v>
      </c>
    </row>
    <row r="44" spans="1:5" x14ac:dyDescent="0.25">
      <c r="A44" t="str">
        <f>"012508"</f>
        <v>012508</v>
      </c>
      <c r="B44" t="s">
        <v>46</v>
      </c>
      <c r="C44">
        <v>325</v>
      </c>
      <c r="D44" s="6">
        <v>138917.75</v>
      </c>
      <c r="E44" s="6">
        <v>45842.86</v>
      </c>
    </row>
    <row r="45" spans="1:5" x14ac:dyDescent="0.25">
      <c r="A45" t="str">
        <f>"012522"</f>
        <v>012522</v>
      </c>
      <c r="B45" t="s">
        <v>47</v>
      </c>
      <c r="C45">
        <v>25</v>
      </c>
      <c r="D45" s="6">
        <v>10685.98</v>
      </c>
      <c r="E45" s="6">
        <v>3526.37</v>
      </c>
    </row>
    <row r="46" spans="1:5" x14ac:dyDescent="0.25">
      <c r="A46" t="str">
        <f>"012900"</f>
        <v>012900</v>
      </c>
      <c r="B46" t="s">
        <v>48</v>
      </c>
      <c r="C46">
        <v>39</v>
      </c>
      <c r="D46" s="6">
        <v>12124.92</v>
      </c>
      <c r="E46" s="6">
        <v>4001.22</v>
      </c>
    </row>
    <row r="47" spans="1:5" x14ac:dyDescent="0.25">
      <c r="A47" t="str">
        <f>"012974"</f>
        <v>012974</v>
      </c>
      <c r="B47" t="s">
        <v>49</v>
      </c>
      <c r="C47">
        <v>97</v>
      </c>
      <c r="D47" s="6">
        <v>41461.599999999999</v>
      </c>
      <c r="E47" s="6">
        <v>13682.33</v>
      </c>
    </row>
    <row r="48" spans="1:5" x14ac:dyDescent="0.25">
      <c r="A48" t="str">
        <f>"012975"</f>
        <v>012975</v>
      </c>
      <c r="B48" t="s">
        <v>50</v>
      </c>
      <c r="C48">
        <v>54</v>
      </c>
      <c r="D48" s="6">
        <v>23081.72</v>
      </c>
      <c r="E48" s="6">
        <v>7616.97</v>
      </c>
    </row>
    <row r="49" spans="1:5" x14ac:dyDescent="0.25">
      <c r="A49" t="str">
        <f>"013208"</f>
        <v>013208</v>
      </c>
      <c r="B49" t="s">
        <v>23</v>
      </c>
      <c r="C49">
        <v>34</v>
      </c>
      <c r="D49" s="6">
        <v>14532.93</v>
      </c>
      <c r="E49" s="6">
        <v>4795.87</v>
      </c>
    </row>
    <row r="50" spans="1:5" x14ac:dyDescent="0.25">
      <c r="A50" t="str">
        <f>"013209"</f>
        <v>013209</v>
      </c>
      <c r="B50" t="s">
        <v>51</v>
      </c>
      <c r="C50">
        <v>211</v>
      </c>
      <c r="D50" s="6">
        <v>87807.13</v>
      </c>
      <c r="E50" s="6">
        <v>28976.35</v>
      </c>
    </row>
    <row r="51" spans="1:5" x14ac:dyDescent="0.25">
      <c r="A51" t="str">
        <f>"013257"</f>
        <v>013257</v>
      </c>
      <c r="B51" t="s">
        <v>52</v>
      </c>
      <c r="C51">
        <v>35</v>
      </c>
      <c r="D51" s="6">
        <v>14960.37</v>
      </c>
      <c r="E51" s="6">
        <v>4936.92</v>
      </c>
    </row>
    <row r="52" spans="1:5" x14ac:dyDescent="0.25">
      <c r="A52" t="str">
        <f>"013258"</f>
        <v>013258</v>
      </c>
      <c r="B52" t="s">
        <v>53</v>
      </c>
      <c r="C52">
        <v>59</v>
      </c>
      <c r="D52" s="6">
        <v>25218.91</v>
      </c>
      <c r="E52" s="6">
        <v>8322.24</v>
      </c>
    </row>
    <row r="53" spans="1:5" x14ac:dyDescent="0.25">
      <c r="A53" t="str">
        <f>"014040"</f>
        <v>014040</v>
      </c>
      <c r="B53" t="s">
        <v>54</v>
      </c>
      <c r="C53">
        <v>399</v>
      </c>
      <c r="D53" s="6">
        <v>170548.25</v>
      </c>
      <c r="E53" s="6">
        <v>56280.92</v>
      </c>
    </row>
    <row r="54" spans="1:5" x14ac:dyDescent="0.25">
      <c r="A54" t="str">
        <f>"014110"</f>
        <v>014110</v>
      </c>
      <c r="B54" t="s">
        <v>55</v>
      </c>
      <c r="C54">
        <v>182</v>
      </c>
      <c r="D54" s="6">
        <v>77793.94</v>
      </c>
      <c r="E54" s="6">
        <v>25672</v>
      </c>
    </row>
    <row r="55" spans="1:5" x14ac:dyDescent="0.25">
      <c r="A55" t="str">
        <f>"014140"</f>
        <v>014140</v>
      </c>
      <c r="B55" t="s">
        <v>56</v>
      </c>
      <c r="C55">
        <v>82</v>
      </c>
      <c r="D55" s="6">
        <v>35050.019999999997</v>
      </c>
      <c r="E55" s="6">
        <v>11566.51</v>
      </c>
    </row>
    <row r="56" spans="1:5" x14ac:dyDescent="0.25">
      <c r="A56" t="str">
        <f>"014157"</f>
        <v>014157</v>
      </c>
      <c r="B56" t="s">
        <v>57</v>
      </c>
      <c r="C56">
        <v>228</v>
      </c>
      <c r="D56" s="6">
        <v>97456.14</v>
      </c>
      <c r="E56" s="6">
        <v>32160.53</v>
      </c>
    </row>
    <row r="57" spans="1:5" x14ac:dyDescent="0.25">
      <c r="A57" t="str">
        <f>"014173"</f>
        <v>014173</v>
      </c>
      <c r="B57" t="s">
        <v>58</v>
      </c>
      <c r="C57">
        <v>37</v>
      </c>
      <c r="D57" s="6">
        <v>15815.25</v>
      </c>
      <c r="E57" s="6">
        <v>5219.03</v>
      </c>
    </row>
    <row r="58" spans="1:5" x14ac:dyDescent="0.25">
      <c r="A58" t="str">
        <f>"015179"</f>
        <v>015179</v>
      </c>
      <c r="B58" t="s">
        <v>59</v>
      </c>
      <c r="C58">
        <v>20</v>
      </c>
      <c r="D58" s="6">
        <v>8548.7800000000007</v>
      </c>
      <c r="E58" s="6">
        <v>2821.1</v>
      </c>
    </row>
    <row r="59" spans="1:5" x14ac:dyDescent="0.25">
      <c r="A59" t="str">
        <f>"015331"</f>
        <v>015331</v>
      </c>
      <c r="B59" t="s">
        <v>60</v>
      </c>
      <c r="C59">
        <v>111</v>
      </c>
      <c r="D59" s="6">
        <v>47445.75</v>
      </c>
      <c r="E59" s="6">
        <v>15657.1</v>
      </c>
    </row>
    <row r="60" spans="1:5" x14ac:dyDescent="0.25">
      <c r="A60" t="str">
        <f>"015374"</f>
        <v>015374</v>
      </c>
      <c r="B60" t="s">
        <v>61</v>
      </c>
      <c r="C60">
        <v>15</v>
      </c>
      <c r="D60" s="6">
        <v>4341.4799999999996</v>
      </c>
      <c r="E60" s="6">
        <v>1432.69</v>
      </c>
    </row>
    <row r="61" spans="1:5" x14ac:dyDescent="0.25">
      <c r="A61" t="str">
        <f>"015489"</f>
        <v>015489</v>
      </c>
      <c r="B61" t="s">
        <v>62</v>
      </c>
      <c r="C61">
        <v>42</v>
      </c>
      <c r="D61" s="6">
        <v>17952.45</v>
      </c>
      <c r="E61" s="6">
        <v>5924.31</v>
      </c>
    </row>
    <row r="62" spans="1:5" x14ac:dyDescent="0.25">
      <c r="A62" t="str">
        <f>"015521"</f>
        <v>015521</v>
      </c>
      <c r="B62" t="s">
        <v>63</v>
      </c>
      <c r="C62">
        <v>93</v>
      </c>
      <c r="D62" s="6">
        <v>39751.85</v>
      </c>
      <c r="E62" s="6">
        <v>13118.11</v>
      </c>
    </row>
    <row r="63" spans="1:5" x14ac:dyDescent="0.25">
      <c r="A63" t="str">
        <f>"015557"</f>
        <v>015557</v>
      </c>
      <c r="B63" t="s">
        <v>64</v>
      </c>
      <c r="C63">
        <v>21</v>
      </c>
      <c r="D63" s="6">
        <v>8976.2199999999993</v>
      </c>
      <c r="E63" s="6">
        <v>2962.15</v>
      </c>
    </row>
    <row r="64" spans="1:5" x14ac:dyDescent="0.25">
      <c r="A64" t="str">
        <f>"015696"</f>
        <v>015696</v>
      </c>
      <c r="B64" t="s">
        <v>65</v>
      </c>
      <c r="C64">
        <v>61</v>
      </c>
      <c r="D64" s="6">
        <v>26073.79</v>
      </c>
      <c r="E64" s="6">
        <v>8604.35</v>
      </c>
    </row>
    <row r="65" spans="1:5" x14ac:dyDescent="0.25">
      <c r="A65" t="str">
        <f>"016119"</f>
        <v>016119</v>
      </c>
      <c r="B65" t="s">
        <v>66</v>
      </c>
      <c r="C65">
        <v>58</v>
      </c>
      <c r="D65" s="6">
        <v>24791.47</v>
      </c>
      <c r="E65" s="6">
        <v>8181.19</v>
      </c>
    </row>
    <row r="66" spans="1:5" x14ac:dyDescent="0.25">
      <c r="A66" t="str">
        <f>"016431"</f>
        <v>016431</v>
      </c>
      <c r="B66" t="s">
        <v>67</v>
      </c>
      <c r="C66">
        <v>25</v>
      </c>
      <c r="D66" s="6">
        <v>10685.98</v>
      </c>
      <c r="E66" s="6">
        <v>3526.37</v>
      </c>
    </row>
    <row r="67" spans="1:5" x14ac:dyDescent="0.25">
      <c r="A67" t="str">
        <f>"016433"</f>
        <v>016433</v>
      </c>
      <c r="B67" t="s">
        <v>68</v>
      </c>
      <c r="C67">
        <v>50</v>
      </c>
      <c r="D67" s="6">
        <v>21371.96</v>
      </c>
      <c r="E67" s="6">
        <v>7052.75</v>
      </c>
    </row>
    <row r="68" spans="1:5" x14ac:dyDescent="0.25">
      <c r="A68" t="str">
        <f>"016680"</f>
        <v>016680</v>
      </c>
      <c r="B68" t="s">
        <v>69</v>
      </c>
      <c r="C68">
        <v>79</v>
      </c>
      <c r="D68" s="6">
        <v>33767.699999999997</v>
      </c>
      <c r="E68" s="6">
        <v>11143.34</v>
      </c>
    </row>
    <row r="69" spans="1:5" x14ac:dyDescent="0.25">
      <c r="A69" t="str">
        <f>"016689"</f>
        <v>016689</v>
      </c>
      <c r="B69" t="s">
        <v>70</v>
      </c>
      <c r="C69">
        <v>112</v>
      </c>
      <c r="D69" s="6">
        <v>47873.19</v>
      </c>
      <c r="E69" s="6">
        <v>15798.15</v>
      </c>
    </row>
    <row r="70" spans="1:5" x14ac:dyDescent="0.25">
      <c r="A70" t="str">
        <f>"016719"</f>
        <v>016719</v>
      </c>
      <c r="B70" t="s">
        <v>71</v>
      </c>
      <c r="C70">
        <v>55</v>
      </c>
      <c r="D70" s="6">
        <v>23509.16</v>
      </c>
      <c r="E70" s="6">
        <v>7758.02</v>
      </c>
    </row>
    <row r="71" spans="1:5" x14ac:dyDescent="0.25">
      <c r="A71" t="str">
        <f>"016974"</f>
        <v>016974</v>
      </c>
      <c r="B71" t="s">
        <v>72</v>
      </c>
      <c r="C71">
        <v>50</v>
      </c>
      <c r="D71" s="6">
        <v>21371.96</v>
      </c>
      <c r="E71" s="6">
        <v>7052.75</v>
      </c>
    </row>
    <row r="72" spans="1:5" x14ac:dyDescent="0.25">
      <c r="A72" t="str">
        <f>"016978"</f>
        <v>016978</v>
      </c>
      <c r="B72" t="s">
        <v>73</v>
      </c>
      <c r="C72">
        <v>27</v>
      </c>
      <c r="D72" s="6">
        <v>11540.86</v>
      </c>
      <c r="E72" s="6">
        <v>3808.48</v>
      </c>
    </row>
    <row r="73" spans="1:5" x14ac:dyDescent="0.25">
      <c r="A73" t="str">
        <f>"017029"</f>
        <v>017029</v>
      </c>
      <c r="B73" t="s">
        <v>74</v>
      </c>
      <c r="C73">
        <v>36</v>
      </c>
      <c r="D73" s="6">
        <v>15387.81</v>
      </c>
      <c r="E73" s="6">
        <v>5077.9799999999996</v>
      </c>
    </row>
    <row r="74" spans="1:5" x14ac:dyDescent="0.25">
      <c r="A74" t="str">
        <f>"017030"</f>
        <v>017030</v>
      </c>
      <c r="B74" t="s">
        <v>75</v>
      </c>
      <c r="C74">
        <v>107</v>
      </c>
      <c r="D74" s="6">
        <v>45736</v>
      </c>
      <c r="E74" s="6">
        <v>15092.88</v>
      </c>
    </row>
    <row r="75" spans="1:5" x14ac:dyDescent="0.25">
      <c r="A75" t="str">
        <f>"017151"</f>
        <v>017151</v>
      </c>
      <c r="B75" t="s">
        <v>76</v>
      </c>
      <c r="C75">
        <v>132</v>
      </c>
      <c r="D75" s="6">
        <v>56421.98</v>
      </c>
      <c r="E75" s="6">
        <v>18619.25</v>
      </c>
    </row>
    <row r="76" spans="1:5" x14ac:dyDescent="0.25">
      <c r="A76" t="str">
        <f>"017153"</f>
        <v>017153</v>
      </c>
      <c r="B76" t="s">
        <v>77</v>
      </c>
      <c r="C76">
        <v>17</v>
      </c>
      <c r="D76" s="6">
        <v>7266.47</v>
      </c>
      <c r="E76" s="6">
        <v>2397.94</v>
      </c>
    </row>
    <row r="77" spans="1:5" x14ac:dyDescent="0.25">
      <c r="A77" t="str">
        <f>"017161"</f>
        <v>017161</v>
      </c>
      <c r="B77" t="s">
        <v>78</v>
      </c>
      <c r="C77">
        <v>7</v>
      </c>
      <c r="D77" s="6">
        <v>2992.07</v>
      </c>
      <c r="E77" s="6">
        <v>987.38</v>
      </c>
    </row>
    <row r="78" spans="1:5" x14ac:dyDescent="0.25">
      <c r="A78" t="str">
        <f>"017232"</f>
        <v>017232</v>
      </c>
      <c r="B78" t="s">
        <v>79</v>
      </c>
      <c r="C78">
        <v>9</v>
      </c>
      <c r="D78" s="6">
        <v>3846.95</v>
      </c>
      <c r="E78" s="6">
        <v>1269.49</v>
      </c>
    </row>
    <row r="79" spans="1:5" x14ac:dyDescent="0.25">
      <c r="A79" t="str">
        <f>"017388"</f>
        <v>017388</v>
      </c>
      <c r="B79" t="s">
        <v>80</v>
      </c>
      <c r="C79">
        <v>44</v>
      </c>
      <c r="D79" s="6">
        <v>10829.67</v>
      </c>
      <c r="E79" s="6">
        <v>3573.79</v>
      </c>
    </row>
    <row r="80" spans="1:5" x14ac:dyDescent="0.25">
      <c r="A80" t="str">
        <f>"017431"</f>
        <v>017431</v>
      </c>
      <c r="B80" t="s">
        <v>81</v>
      </c>
      <c r="C80">
        <v>10</v>
      </c>
      <c r="D80" s="6">
        <v>4274.3900000000003</v>
      </c>
      <c r="E80" s="6">
        <v>1410.55</v>
      </c>
    </row>
    <row r="81" spans="1:5" x14ac:dyDescent="0.25">
      <c r="A81" t="str">
        <f>"052613"</f>
        <v>052613</v>
      </c>
      <c r="B81" t="s">
        <v>84</v>
      </c>
      <c r="C81">
        <v>257</v>
      </c>
      <c r="D81" s="6">
        <v>109851.88</v>
      </c>
      <c r="E81" s="6">
        <v>36251.120000000003</v>
      </c>
    </row>
    <row r="82" spans="1:5" x14ac:dyDescent="0.25">
      <c r="A82" t="str">
        <f>"052621"</f>
        <v>052621</v>
      </c>
      <c r="B82" t="s">
        <v>85</v>
      </c>
      <c r="C82">
        <v>605</v>
      </c>
      <c r="D82" s="6">
        <v>258600.73</v>
      </c>
      <c r="E82" s="6">
        <v>85338.240000000005</v>
      </c>
    </row>
    <row r="83" spans="1:5" x14ac:dyDescent="0.25">
      <c r="A83" t="str">
        <f>"052639"</f>
        <v>052639</v>
      </c>
      <c r="B83" t="s">
        <v>86</v>
      </c>
      <c r="C83">
        <v>836</v>
      </c>
      <c r="D83" s="6">
        <v>357339.19</v>
      </c>
      <c r="E83" s="6">
        <v>117921.93</v>
      </c>
    </row>
    <row r="84" spans="1:5" x14ac:dyDescent="0.25">
      <c r="A84" t="str">
        <f>"052647"</f>
        <v>052647</v>
      </c>
      <c r="B84" t="s">
        <v>87</v>
      </c>
      <c r="C84">
        <v>608</v>
      </c>
      <c r="D84" s="6">
        <v>259883.05</v>
      </c>
      <c r="E84" s="6">
        <v>85761.41</v>
      </c>
    </row>
    <row r="85" spans="1:5" x14ac:dyDescent="0.25">
      <c r="A85" t="str">
        <f>"052654"</f>
        <v>052654</v>
      </c>
      <c r="B85" t="s">
        <v>88</v>
      </c>
      <c r="C85">
        <v>311</v>
      </c>
      <c r="D85" s="6">
        <v>132933.6</v>
      </c>
      <c r="E85" s="6">
        <v>43868.09</v>
      </c>
    </row>
    <row r="86" spans="1:5" x14ac:dyDescent="0.25">
      <c r="A86" t="str">
        <f>"052662"</f>
        <v>052662</v>
      </c>
      <c r="B86" t="s">
        <v>89</v>
      </c>
      <c r="C86">
        <v>343</v>
      </c>
      <c r="D86" s="6">
        <v>146611.65</v>
      </c>
      <c r="E86" s="6">
        <v>48381.84</v>
      </c>
    </row>
    <row r="87" spans="1:5" x14ac:dyDescent="0.25">
      <c r="A87" t="str">
        <f>"052670"</f>
        <v>052670</v>
      </c>
      <c r="B87" t="s">
        <v>90</v>
      </c>
      <c r="C87">
        <v>165</v>
      </c>
      <c r="D87" s="6">
        <v>64605.56</v>
      </c>
      <c r="E87" s="6">
        <v>21319.83</v>
      </c>
    </row>
    <row r="88" spans="1:5" x14ac:dyDescent="0.25">
      <c r="A88" t="str">
        <f>"052696"</f>
        <v>052696</v>
      </c>
      <c r="B88" t="s">
        <v>91</v>
      </c>
      <c r="C88">
        <v>686</v>
      </c>
      <c r="D88" s="6">
        <v>293223.3</v>
      </c>
      <c r="E88" s="6">
        <v>96763.69</v>
      </c>
    </row>
    <row r="89" spans="1:5" x14ac:dyDescent="0.25">
      <c r="A89" t="str">
        <f>"052704"</f>
        <v>052704</v>
      </c>
      <c r="B89" t="s">
        <v>92</v>
      </c>
      <c r="C89">
        <v>392</v>
      </c>
      <c r="D89" s="6">
        <v>167556.17000000001</v>
      </c>
      <c r="E89" s="6">
        <v>55293.54</v>
      </c>
    </row>
    <row r="90" spans="1:5" x14ac:dyDescent="0.25">
      <c r="A90" t="str">
        <f>"052712"</f>
        <v>052712</v>
      </c>
      <c r="B90" t="s">
        <v>93</v>
      </c>
      <c r="C90">
        <v>124</v>
      </c>
      <c r="D90" s="6">
        <v>53002.46</v>
      </c>
      <c r="E90" s="6">
        <v>17490.810000000001</v>
      </c>
    </row>
    <row r="91" spans="1:5" x14ac:dyDescent="0.25">
      <c r="A91" t="str">
        <f>"052720"</f>
        <v>052720</v>
      </c>
      <c r="B91" t="s">
        <v>94</v>
      </c>
      <c r="C91">
        <v>904</v>
      </c>
      <c r="D91" s="6">
        <v>386405.05</v>
      </c>
      <c r="E91" s="6">
        <v>127513.67</v>
      </c>
    </row>
    <row r="92" spans="1:5" x14ac:dyDescent="0.25">
      <c r="A92" t="str">
        <f>"052779"</f>
        <v>052779</v>
      </c>
      <c r="B92" t="s">
        <v>95</v>
      </c>
      <c r="C92">
        <v>436</v>
      </c>
      <c r="D92" s="6">
        <v>186363.5</v>
      </c>
      <c r="E92" s="6">
        <v>61499.96</v>
      </c>
    </row>
    <row r="93" spans="1:5" x14ac:dyDescent="0.25">
      <c r="A93" t="str">
        <f>"052787"</f>
        <v>052787</v>
      </c>
      <c r="B93" t="s">
        <v>96</v>
      </c>
      <c r="C93">
        <v>423</v>
      </c>
      <c r="D93" s="6">
        <v>180806.79</v>
      </c>
      <c r="E93" s="6">
        <v>59666.239999999998</v>
      </c>
    </row>
    <row r="94" spans="1:5" x14ac:dyDescent="0.25">
      <c r="A94" t="str">
        <f>"052795"</f>
        <v>052795</v>
      </c>
      <c r="B94" t="s">
        <v>97</v>
      </c>
      <c r="C94">
        <v>422</v>
      </c>
      <c r="D94" s="6">
        <v>180379.35</v>
      </c>
      <c r="E94" s="6">
        <v>59525.19</v>
      </c>
    </row>
    <row r="95" spans="1:5" x14ac:dyDescent="0.25">
      <c r="A95" t="str">
        <f>"052803"</f>
        <v>052803</v>
      </c>
      <c r="B95" t="s">
        <v>98</v>
      </c>
      <c r="C95">
        <v>766</v>
      </c>
      <c r="D95" s="6">
        <v>327418.44</v>
      </c>
      <c r="E95" s="6">
        <v>108048.09</v>
      </c>
    </row>
    <row r="96" spans="1:5" x14ac:dyDescent="0.25">
      <c r="A96" t="str">
        <f>"052829"</f>
        <v>052829</v>
      </c>
      <c r="B96" t="s">
        <v>99</v>
      </c>
      <c r="C96">
        <v>491</v>
      </c>
      <c r="D96" s="6">
        <v>209872.66</v>
      </c>
      <c r="E96" s="6">
        <v>69257.98</v>
      </c>
    </row>
    <row r="97" spans="1:5" x14ac:dyDescent="0.25">
      <c r="A97" t="str">
        <f>"052837"</f>
        <v>052837</v>
      </c>
      <c r="B97" t="s">
        <v>99</v>
      </c>
      <c r="C97">
        <v>219</v>
      </c>
      <c r="D97" s="6">
        <v>93609.19</v>
      </c>
      <c r="E97" s="6">
        <v>30891.03</v>
      </c>
    </row>
    <row r="98" spans="1:5" x14ac:dyDescent="0.25">
      <c r="A98" t="str">
        <f>"052845"</f>
        <v>052845</v>
      </c>
      <c r="B98" t="s">
        <v>100</v>
      </c>
      <c r="C98">
        <v>325</v>
      </c>
      <c r="D98" s="6">
        <v>138917.75</v>
      </c>
      <c r="E98" s="6">
        <v>45842.86</v>
      </c>
    </row>
    <row r="99" spans="1:5" x14ac:dyDescent="0.25">
      <c r="A99" t="str">
        <f>"052852"</f>
        <v>052852</v>
      </c>
      <c r="B99" t="s">
        <v>100</v>
      </c>
      <c r="C99">
        <v>565</v>
      </c>
      <c r="D99" s="6">
        <v>241503.16</v>
      </c>
      <c r="E99" s="6">
        <v>79696.039999999994</v>
      </c>
    </row>
    <row r="100" spans="1:5" x14ac:dyDescent="0.25">
      <c r="A100" t="str">
        <f>"052860"</f>
        <v>052860</v>
      </c>
      <c r="B100" t="s">
        <v>101</v>
      </c>
      <c r="C100">
        <v>274</v>
      </c>
      <c r="D100" s="6">
        <v>117118.35</v>
      </c>
      <c r="E100" s="6">
        <v>38649.06</v>
      </c>
    </row>
    <row r="101" spans="1:5" x14ac:dyDescent="0.25">
      <c r="A101" t="str">
        <f>"052878"</f>
        <v>052878</v>
      </c>
      <c r="B101" t="s">
        <v>102</v>
      </c>
      <c r="C101">
        <v>659</v>
      </c>
      <c r="D101" s="6">
        <v>281682.45</v>
      </c>
      <c r="E101" s="6">
        <v>92955.21</v>
      </c>
    </row>
    <row r="102" spans="1:5" x14ac:dyDescent="0.25">
      <c r="A102" t="str">
        <f>"052894"</f>
        <v>052894</v>
      </c>
      <c r="B102" t="s">
        <v>103</v>
      </c>
      <c r="C102">
        <v>693</v>
      </c>
      <c r="D102" s="6">
        <v>296215.38</v>
      </c>
      <c r="E102" s="6">
        <v>97751.08</v>
      </c>
    </row>
    <row r="103" spans="1:5" x14ac:dyDescent="0.25">
      <c r="A103" t="str">
        <f>"052902"</f>
        <v>052902</v>
      </c>
      <c r="B103" t="s">
        <v>104</v>
      </c>
      <c r="C103">
        <v>827</v>
      </c>
      <c r="D103" s="6">
        <v>353492.23</v>
      </c>
      <c r="E103" s="6">
        <v>116652.44</v>
      </c>
    </row>
    <row r="104" spans="1:5" x14ac:dyDescent="0.25">
      <c r="A104" t="str">
        <f>"052910"</f>
        <v>052910</v>
      </c>
      <c r="B104" t="s">
        <v>105</v>
      </c>
      <c r="C104">
        <v>1065</v>
      </c>
      <c r="D104" s="6">
        <v>455222.77</v>
      </c>
      <c r="E104" s="6">
        <v>150223.51</v>
      </c>
    </row>
    <row r="105" spans="1:5" x14ac:dyDescent="0.25">
      <c r="A105" t="str">
        <f>"052928"</f>
        <v>052928</v>
      </c>
      <c r="B105" t="s">
        <v>106</v>
      </c>
      <c r="C105">
        <v>529</v>
      </c>
      <c r="D105" s="6">
        <v>226115.35</v>
      </c>
      <c r="E105" s="6">
        <v>74618.070000000007</v>
      </c>
    </row>
    <row r="106" spans="1:5" x14ac:dyDescent="0.25">
      <c r="A106" t="str">
        <f>"052936"</f>
        <v>052936</v>
      </c>
      <c r="B106" t="s">
        <v>107</v>
      </c>
      <c r="C106">
        <v>402</v>
      </c>
      <c r="D106" s="6">
        <v>171830.57</v>
      </c>
      <c r="E106" s="6">
        <v>56704.09</v>
      </c>
    </row>
    <row r="107" spans="1:5" x14ac:dyDescent="0.25">
      <c r="A107" t="str">
        <f>"052951"</f>
        <v>052951</v>
      </c>
      <c r="B107" t="s">
        <v>108</v>
      </c>
      <c r="C107">
        <v>757</v>
      </c>
      <c r="D107" s="6">
        <v>323571.49</v>
      </c>
      <c r="E107" s="6">
        <v>106778.59</v>
      </c>
    </row>
    <row r="108" spans="1:5" x14ac:dyDescent="0.25">
      <c r="A108" t="str">
        <f>"052969"</f>
        <v>052969</v>
      </c>
      <c r="B108" t="s">
        <v>109</v>
      </c>
      <c r="C108">
        <v>395</v>
      </c>
      <c r="D108" s="6">
        <v>168838.49</v>
      </c>
      <c r="E108" s="6">
        <v>55716.7</v>
      </c>
    </row>
    <row r="109" spans="1:5" x14ac:dyDescent="0.25">
      <c r="A109" t="str">
        <f>"052977"</f>
        <v>052977</v>
      </c>
      <c r="B109" t="s">
        <v>110</v>
      </c>
      <c r="C109">
        <v>534</v>
      </c>
      <c r="D109" s="6">
        <v>215290.66</v>
      </c>
      <c r="E109" s="6">
        <v>71045.919999999998</v>
      </c>
    </row>
    <row r="110" spans="1:5" x14ac:dyDescent="0.25">
      <c r="A110" t="str">
        <f>"052993"</f>
        <v>052993</v>
      </c>
      <c r="B110" t="s">
        <v>111</v>
      </c>
      <c r="C110">
        <v>534</v>
      </c>
      <c r="D110" s="6">
        <v>228252.54</v>
      </c>
      <c r="E110" s="6">
        <v>75323.34</v>
      </c>
    </row>
    <row r="111" spans="1:5" x14ac:dyDescent="0.25">
      <c r="A111" t="str">
        <f>"053009"</f>
        <v>053009</v>
      </c>
      <c r="B111" t="s">
        <v>112</v>
      </c>
      <c r="C111">
        <v>150</v>
      </c>
      <c r="D111" s="6">
        <v>53719.91</v>
      </c>
      <c r="E111" s="6">
        <v>17727.57</v>
      </c>
    </row>
    <row r="112" spans="1:5" x14ac:dyDescent="0.25">
      <c r="A112" t="str">
        <f>"053033"</f>
        <v>053033</v>
      </c>
      <c r="B112" t="s">
        <v>113</v>
      </c>
      <c r="C112">
        <v>744</v>
      </c>
      <c r="D112" s="6">
        <v>318014.78000000003</v>
      </c>
      <c r="E112" s="6">
        <v>104944.88</v>
      </c>
    </row>
    <row r="113" spans="1:5" x14ac:dyDescent="0.25">
      <c r="A113" t="str">
        <f>"053041"</f>
        <v>053041</v>
      </c>
      <c r="B113" t="s">
        <v>114</v>
      </c>
      <c r="C113">
        <v>507</v>
      </c>
      <c r="D113" s="6">
        <v>216711.67999999999</v>
      </c>
      <c r="E113" s="6">
        <v>71514.850000000006</v>
      </c>
    </row>
    <row r="114" spans="1:5" x14ac:dyDescent="0.25">
      <c r="A114" t="str">
        <f>"053058"</f>
        <v>053058</v>
      </c>
      <c r="B114" t="s">
        <v>115</v>
      </c>
      <c r="C114">
        <v>562</v>
      </c>
      <c r="D114" s="6">
        <v>240220.84</v>
      </c>
      <c r="E114" s="6">
        <v>79272.88</v>
      </c>
    </row>
    <row r="115" spans="1:5" x14ac:dyDescent="0.25">
      <c r="A115" t="str">
        <f>"053082"</f>
        <v>053082</v>
      </c>
      <c r="B115" t="s">
        <v>116</v>
      </c>
      <c r="C115">
        <v>177</v>
      </c>
      <c r="D115" s="6">
        <v>75656.740000000005</v>
      </c>
      <c r="E115" s="6">
        <v>24966.720000000001</v>
      </c>
    </row>
    <row r="116" spans="1:5" x14ac:dyDescent="0.25">
      <c r="A116" t="str">
        <f>"053116"</f>
        <v>053116</v>
      </c>
      <c r="B116" t="s">
        <v>117</v>
      </c>
      <c r="C116">
        <v>151</v>
      </c>
      <c r="D116" s="6">
        <v>64543.32</v>
      </c>
      <c r="E116" s="6">
        <v>21299.3</v>
      </c>
    </row>
    <row r="117" spans="1:5" x14ac:dyDescent="0.25">
      <c r="A117" t="str">
        <f>"053124"</f>
        <v>053124</v>
      </c>
      <c r="B117" t="s">
        <v>118</v>
      </c>
      <c r="C117">
        <v>313</v>
      </c>
      <c r="D117" s="6">
        <v>133788.48000000001</v>
      </c>
      <c r="E117" s="6">
        <v>44150.2</v>
      </c>
    </row>
    <row r="118" spans="1:5" x14ac:dyDescent="0.25">
      <c r="A118" t="str">
        <f>"053140"</f>
        <v>053140</v>
      </c>
      <c r="B118" t="s">
        <v>119</v>
      </c>
      <c r="C118">
        <v>591</v>
      </c>
      <c r="D118" s="6">
        <v>252616.58</v>
      </c>
      <c r="E118" s="6">
        <v>83363.47</v>
      </c>
    </row>
    <row r="119" spans="1:5" x14ac:dyDescent="0.25">
      <c r="A119" t="str">
        <f>"053165"</f>
        <v>053165</v>
      </c>
      <c r="B119" t="s">
        <v>120</v>
      </c>
      <c r="C119">
        <v>279</v>
      </c>
      <c r="D119" s="6">
        <v>119255.54</v>
      </c>
      <c r="E119" s="6">
        <v>39354.33</v>
      </c>
    </row>
    <row r="120" spans="1:5" x14ac:dyDescent="0.25">
      <c r="A120" t="str">
        <f>"053199"</f>
        <v>053199</v>
      </c>
      <c r="B120" t="s">
        <v>121</v>
      </c>
      <c r="C120">
        <v>323</v>
      </c>
      <c r="D120" s="6">
        <v>138062.87</v>
      </c>
      <c r="E120" s="6">
        <v>45560.75</v>
      </c>
    </row>
    <row r="121" spans="1:5" x14ac:dyDescent="0.25">
      <c r="A121" t="str">
        <f>"053207"</f>
        <v>053207</v>
      </c>
      <c r="B121" t="s">
        <v>122</v>
      </c>
      <c r="C121">
        <v>463</v>
      </c>
      <c r="D121" s="6">
        <v>197904.36</v>
      </c>
      <c r="E121" s="6">
        <v>65308.44</v>
      </c>
    </row>
    <row r="122" spans="1:5" x14ac:dyDescent="0.25">
      <c r="A122" t="str">
        <f>"053215"</f>
        <v>053215</v>
      </c>
      <c r="B122" t="s">
        <v>123</v>
      </c>
      <c r="C122">
        <v>680</v>
      </c>
      <c r="D122" s="6">
        <v>290658.67</v>
      </c>
      <c r="E122" s="6">
        <v>95917.36</v>
      </c>
    </row>
    <row r="123" spans="1:5" x14ac:dyDescent="0.25">
      <c r="A123" t="str">
        <f>"053256"</f>
        <v>053256</v>
      </c>
      <c r="B123" t="s">
        <v>124</v>
      </c>
      <c r="C123">
        <v>360</v>
      </c>
      <c r="D123" s="6">
        <v>153878.12</v>
      </c>
      <c r="E123" s="6">
        <v>50779.78</v>
      </c>
    </row>
    <row r="124" spans="1:5" x14ac:dyDescent="0.25">
      <c r="A124" t="str">
        <f>"053272"</f>
        <v>053272</v>
      </c>
      <c r="B124" t="s">
        <v>125</v>
      </c>
      <c r="C124">
        <v>704</v>
      </c>
      <c r="D124" s="6">
        <v>300917.21000000002</v>
      </c>
      <c r="E124" s="6">
        <v>99302.68</v>
      </c>
    </row>
    <row r="125" spans="1:5" x14ac:dyDescent="0.25">
      <c r="A125" t="str">
        <f>"053298"</f>
        <v>053298</v>
      </c>
      <c r="B125" t="s">
        <v>126</v>
      </c>
      <c r="C125">
        <v>544</v>
      </c>
      <c r="D125" s="6">
        <v>232526.94</v>
      </c>
      <c r="E125" s="6">
        <v>76733.89</v>
      </c>
    </row>
    <row r="126" spans="1:5" x14ac:dyDescent="0.25">
      <c r="A126" t="str">
        <f>"053306"</f>
        <v>053306</v>
      </c>
      <c r="B126" t="s">
        <v>127</v>
      </c>
      <c r="C126">
        <v>867</v>
      </c>
      <c r="D126" s="6">
        <v>370589.8</v>
      </c>
      <c r="E126" s="6">
        <v>122294.63</v>
      </c>
    </row>
    <row r="127" spans="1:5" x14ac:dyDescent="0.25">
      <c r="A127" t="str">
        <f>"053322"</f>
        <v>053322</v>
      </c>
      <c r="B127" t="s">
        <v>128</v>
      </c>
      <c r="C127">
        <v>722</v>
      </c>
      <c r="D127" s="6">
        <v>308611.12</v>
      </c>
      <c r="E127" s="6">
        <v>101841.67</v>
      </c>
    </row>
    <row r="128" spans="1:5" x14ac:dyDescent="0.25">
      <c r="A128" t="str">
        <f>"053348"</f>
        <v>053348</v>
      </c>
      <c r="B128" t="s">
        <v>129</v>
      </c>
      <c r="C128">
        <v>587</v>
      </c>
      <c r="D128" s="6">
        <v>250906.82</v>
      </c>
      <c r="E128" s="6">
        <v>82799.25</v>
      </c>
    </row>
    <row r="129" spans="1:5" x14ac:dyDescent="0.25">
      <c r="A129" t="str">
        <f>"053355"</f>
        <v>053355</v>
      </c>
      <c r="B129" t="s">
        <v>130</v>
      </c>
      <c r="C129">
        <v>215</v>
      </c>
      <c r="D129" s="6">
        <v>91899.43</v>
      </c>
      <c r="E129" s="6">
        <v>30326.81</v>
      </c>
    </row>
    <row r="130" spans="1:5" x14ac:dyDescent="0.25">
      <c r="A130" t="str">
        <f>"053363"</f>
        <v>053363</v>
      </c>
      <c r="B130" t="s">
        <v>131</v>
      </c>
      <c r="C130">
        <v>132</v>
      </c>
      <c r="D130" s="6">
        <v>56421.98</v>
      </c>
      <c r="E130" s="6">
        <v>18619.25</v>
      </c>
    </row>
    <row r="131" spans="1:5" x14ac:dyDescent="0.25">
      <c r="A131" t="str">
        <f>"053371"</f>
        <v>053371</v>
      </c>
      <c r="B131" t="s">
        <v>132</v>
      </c>
      <c r="C131">
        <v>703</v>
      </c>
      <c r="D131" s="6">
        <v>300489.77</v>
      </c>
      <c r="E131" s="6">
        <v>99161.62</v>
      </c>
    </row>
    <row r="132" spans="1:5" x14ac:dyDescent="0.25">
      <c r="A132" t="str">
        <f>"053389"</f>
        <v>053389</v>
      </c>
      <c r="B132" t="s">
        <v>133</v>
      </c>
      <c r="C132">
        <v>583</v>
      </c>
      <c r="D132" s="6">
        <v>249197.06</v>
      </c>
      <c r="E132" s="6">
        <v>82235.03</v>
      </c>
    </row>
    <row r="133" spans="1:5" x14ac:dyDescent="0.25">
      <c r="A133" t="str">
        <f>"053439"</f>
        <v>053439</v>
      </c>
      <c r="B133" t="s">
        <v>134</v>
      </c>
      <c r="C133">
        <v>757</v>
      </c>
      <c r="D133" s="6">
        <v>323571.49</v>
      </c>
      <c r="E133" s="6">
        <v>106778.59</v>
      </c>
    </row>
    <row r="134" spans="1:5" x14ac:dyDescent="0.25">
      <c r="A134" t="str">
        <f>"053454"</f>
        <v>053454</v>
      </c>
      <c r="B134" t="s">
        <v>135</v>
      </c>
      <c r="C134">
        <v>329</v>
      </c>
      <c r="D134" s="6">
        <v>140627.5</v>
      </c>
      <c r="E134" s="6">
        <v>46407.08</v>
      </c>
    </row>
    <row r="135" spans="1:5" x14ac:dyDescent="0.25">
      <c r="A135" t="str">
        <f>"053488"</f>
        <v>053488</v>
      </c>
      <c r="B135" t="s">
        <v>136</v>
      </c>
      <c r="C135">
        <v>504</v>
      </c>
      <c r="D135" s="6">
        <v>215429.37</v>
      </c>
      <c r="E135" s="6">
        <v>71091.69</v>
      </c>
    </row>
    <row r="136" spans="1:5" x14ac:dyDescent="0.25">
      <c r="A136" t="str">
        <f>"053496"</f>
        <v>053496</v>
      </c>
      <c r="B136" t="s">
        <v>137</v>
      </c>
      <c r="C136">
        <v>15</v>
      </c>
      <c r="D136" s="6">
        <v>3058.98</v>
      </c>
      <c r="E136" s="6">
        <v>1009.46</v>
      </c>
    </row>
    <row r="137" spans="1:5" x14ac:dyDescent="0.25">
      <c r="A137" t="str">
        <f>"053520"</f>
        <v>053520</v>
      </c>
      <c r="B137" t="s">
        <v>138</v>
      </c>
      <c r="C137">
        <v>625</v>
      </c>
      <c r="D137" s="6">
        <v>256235.67</v>
      </c>
      <c r="E137" s="6">
        <v>84557.77</v>
      </c>
    </row>
    <row r="138" spans="1:5" x14ac:dyDescent="0.25">
      <c r="A138" t="str">
        <f>"053546"</f>
        <v>053546</v>
      </c>
      <c r="B138" t="s">
        <v>139</v>
      </c>
      <c r="C138">
        <v>938</v>
      </c>
      <c r="D138" s="6">
        <v>400937.99</v>
      </c>
      <c r="E138" s="6">
        <v>132309.54</v>
      </c>
    </row>
    <row r="139" spans="1:5" x14ac:dyDescent="0.25">
      <c r="A139" t="str">
        <f>"053587"</f>
        <v>053587</v>
      </c>
      <c r="B139" t="s">
        <v>140</v>
      </c>
      <c r="C139">
        <v>872</v>
      </c>
      <c r="D139" s="6">
        <v>372727</v>
      </c>
      <c r="E139" s="6">
        <v>122999.91</v>
      </c>
    </row>
    <row r="140" spans="1:5" x14ac:dyDescent="0.25">
      <c r="A140" t="str">
        <f>"053595"</f>
        <v>053595</v>
      </c>
      <c r="B140" t="s">
        <v>141</v>
      </c>
      <c r="C140">
        <v>648</v>
      </c>
      <c r="D140" s="6">
        <v>276980.61</v>
      </c>
      <c r="E140" s="6">
        <v>91403.6</v>
      </c>
    </row>
    <row r="141" spans="1:5" x14ac:dyDescent="0.25">
      <c r="A141" t="str">
        <f>"053611"</f>
        <v>053611</v>
      </c>
      <c r="B141" t="s">
        <v>142</v>
      </c>
      <c r="C141">
        <v>349</v>
      </c>
      <c r="D141" s="6">
        <v>149176.29</v>
      </c>
      <c r="E141" s="6">
        <v>49228.18</v>
      </c>
    </row>
    <row r="142" spans="1:5" x14ac:dyDescent="0.25">
      <c r="A142" t="str">
        <f>"053629"</f>
        <v>053629</v>
      </c>
      <c r="B142" t="s">
        <v>143</v>
      </c>
      <c r="C142">
        <v>1514</v>
      </c>
      <c r="D142" s="6">
        <v>647142.98</v>
      </c>
      <c r="E142" s="6">
        <v>213557.18</v>
      </c>
    </row>
    <row r="143" spans="1:5" x14ac:dyDescent="0.25">
      <c r="A143" t="str">
        <f>"053637"</f>
        <v>053637</v>
      </c>
      <c r="B143" t="s">
        <v>144</v>
      </c>
      <c r="C143">
        <v>408</v>
      </c>
      <c r="D143" s="6">
        <v>174395.2</v>
      </c>
      <c r="E143" s="6">
        <v>57550.42</v>
      </c>
    </row>
    <row r="144" spans="1:5" x14ac:dyDescent="0.25">
      <c r="A144" t="str">
        <f>"053645"</f>
        <v>053645</v>
      </c>
      <c r="B144" t="s">
        <v>145</v>
      </c>
      <c r="C144">
        <v>590</v>
      </c>
      <c r="D144" s="6">
        <v>252189.14</v>
      </c>
      <c r="E144" s="6">
        <v>83222.42</v>
      </c>
    </row>
    <row r="145" spans="1:5" x14ac:dyDescent="0.25">
      <c r="A145" t="str">
        <f>"053652"</f>
        <v>053652</v>
      </c>
      <c r="B145" t="s">
        <v>146</v>
      </c>
      <c r="C145">
        <v>40</v>
      </c>
      <c r="D145" s="6">
        <v>17097.57</v>
      </c>
      <c r="E145" s="6">
        <v>5642.2</v>
      </c>
    </row>
    <row r="146" spans="1:5" x14ac:dyDescent="0.25">
      <c r="A146" t="str">
        <f>"053660"</f>
        <v>053660</v>
      </c>
      <c r="B146" t="s">
        <v>147</v>
      </c>
      <c r="C146">
        <v>461</v>
      </c>
      <c r="D146" s="6">
        <v>197049.48</v>
      </c>
      <c r="E146" s="6">
        <v>65026.33</v>
      </c>
    </row>
    <row r="147" spans="1:5" x14ac:dyDescent="0.25">
      <c r="A147" t="str">
        <f>"053686"</f>
        <v>053686</v>
      </c>
      <c r="B147" t="s">
        <v>148</v>
      </c>
      <c r="C147">
        <v>434</v>
      </c>
      <c r="D147" s="6">
        <v>185508.62</v>
      </c>
      <c r="E147" s="6">
        <v>61217.84</v>
      </c>
    </row>
    <row r="148" spans="1:5" x14ac:dyDescent="0.25">
      <c r="A148" t="str">
        <f>"053702"</f>
        <v>053702</v>
      </c>
      <c r="B148" t="s">
        <v>149</v>
      </c>
      <c r="C148">
        <v>717</v>
      </c>
      <c r="D148" s="6">
        <v>306473.92</v>
      </c>
      <c r="E148" s="6">
        <v>101136.39</v>
      </c>
    </row>
    <row r="149" spans="1:5" x14ac:dyDescent="0.25">
      <c r="A149" t="str">
        <f>"053728"</f>
        <v>053728</v>
      </c>
      <c r="B149" t="s">
        <v>150</v>
      </c>
      <c r="C149">
        <v>68</v>
      </c>
      <c r="D149" s="6">
        <v>29065.87</v>
      </c>
      <c r="E149" s="6">
        <v>9591.74</v>
      </c>
    </row>
    <row r="150" spans="1:5" x14ac:dyDescent="0.25">
      <c r="A150" t="str">
        <f>"053751"</f>
        <v>053751</v>
      </c>
      <c r="B150" t="s">
        <v>151</v>
      </c>
      <c r="C150">
        <v>506</v>
      </c>
      <c r="D150" s="6">
        <v>216284.25</v>
      </c>
      <c r="E150" s="6">
        <v>71373.8</v>
      </c>
    </row>
    <row r="151" spans="1:5" x14ac:dyDescent="0.25">
      <c r="A151" t="str">
        <f>"053769"</f>
        <v>053769</v>
      </c>
      <c r="B151" t="s">
        <v>152</v>
      </c>
      <c r="C151">
        <v>648</v>
      </c>
      <c r="D151" s="6">
        <v>276980.61</v>
      </c>
      <c r="E151" s="6">
        <v>91403.6</v>
      </c>
    </row>
    <row r="152" spans="1:5" x14ac:dyDescent="0.25">
      <c r="A152" t="str">
        <f>"053785"</f>
        <v>053785</v>
      </c>
      <c r="B152" t="s">
        <v>153</v>
      </c>
      <c r="C152">
        <v>232</v>
      </c>
      <c r="D152" s="6">
        <v>88907.92</v>
      </c>
      <c r="E152" s="6">
        <v>29339.61</v>
      </c>
    </row>
    <row r="153" spans="1:5" x14ac:dyDescent="0.25">
      <c r="A153" t="str">
        <f>"053801"</f>
        <v>053801</v>
      </c>
      <c r="B153" t="s">
        <v>154</v>
      </c>
      <c r="C153">
        <v>72</v>
      </c>
      <c r="D153" s="6">
        <v>30775.62</v>
      </c>
      <c r="E153" s="6">
        <v>10155.950000000001</v>
      </c>
    </row>
    <row r="154" spans="1:5" x14ac:dyDescent="0.25">
      <c r="A154" t="str">
        <f>"053827"</f>
        <v>053827</v>
      </c>
      <c r="B154" t="s">
        <v>155</v>
      </c>
      <c r="C154">
        <v>285</v>
      </c>
      <c r="D154" s="6">
        <v>121820.18</v>
      </c>
      <c r="E154" s="6">
        <v>40200.660000000003</v>
      </c>
    </row>
    <row r="155" spans="1:5" x14ac:dyDescent="0.25">
      <c r="A155" t="str">
        <f>"053835"</f>
        <v>053835</v>
      </c>
      <c r="B155" t="s">
        <v>156</v>
      </c>
      <c r="C155">
        <v>642</v>
      </c>
      <c r="D155" s="6">
        <v>274415.98</v>
      </c>
      <c r="E155" s="6">
        <v>90557.27</v>
      </c>
    </row>
    <row r="156" spans="1:5" x14ac:dyDescent="0.25">
      <c r="A156" t="str">
        <f>"053843"</f>
        <v>053843</v>
      </c>
      <c r="B156" t="s">
        <v>156</v>
      </c>
      <c r="C156">
        <v>511</v>
      </c>
      <c r="D156" s="6">
        <v>218421.44</v>
      </c>
      <c r="E156" s="6">
        <v>72079.08</v>
      </c>
    </row>
    <row r="157" spans="1:5" x14ac:dyDescent="0.25">
      <c r="A157" t="str">
        <f>"053850"</f>
        <v>053850</v>
      </c>
      <c r="B157" t="s">
        <v>157</v>
      </c>
      <c r="C157">
        <v>619</v>
      </c>
      <c r="D157" s="6">
        <v>264584.88</v>
      </c>
      <c r="E157" s="6">
        <v>87313.01</v>
      </c>
    </row>
    <row r="158" spans="1:5" x14ac:dyDescent="0.25">
      <c r="A158" t="str">
        <f>"053868"</f>
        <v>053868</v>
      </c>
      <c r="B158" t="s">
        <v>158</v>
      </c>
      <c r="C158">
        <v>97</v>
      </c>
      <c r="D158" s="6">
        <v>41461.599999999999</v>
      </c>
      <c r="E158" s="6">
        <v>13682.33</v>
      </c>
    </row>
    <row r="159" spans="1:5" x14ac:dyDescent="0.25">
      <c r="A159" t="str">
        <f>"053876"</f>
        <v>053876</v>
      </c>
      <c r="B159" t="s">
        <v>159</v>
      </c>
      <c r="C159">
        <v>1466</v>
      </c>
      <c r="D159" s="6">
        <v>626625.9</v>
      </c>
      <c r="E159" s="6">
        <v>206786.55</v>
      </c>
    </row>
    <row r="160" spans="1:5" x14ac:dyDescent="0.25">
      <c r="A160" t="str">
        <f>"053884"</f>
        <v>053884</v>
      </c>
      <c r="B160" t="s">
        <v>160</v>
      </c>
      <c r="C160">
        <v>516</v>
      </c>
      <c r="D160" s="6">
        <v>220558.64</v>
      </c>
      <c r="E160" s="6">
        <v>72784.350000000006</v>
      </c>
    </row>
    <row r="161" spans="1:5" x14ac:dyDescent="0.25">
      <c r="A161" t="str">
        <f>"053900"</f>
        <v>053900</v>
      </c>
      <c r="B161" t="s">
        <v>161</v>
      </c>
      <c r="C161">
        <v>790</v>
      </c>
      <c r="D161" s="6">
        <v>337676.98</v>
      </c>
      <c r="E161" s="6">
        <v>111433.4</v>
      </c>
    </row>
    <row r="162" spans="1:5" x14ac:dyDescent="0.25">
      <c r="A162" t="str">
        <f>"053918"</f>
        <v>053918</v>
      </c>
      <c r="B162" t="s">
        <v>162</v>
      </c>
      <c r="C162">
        <v>119</v>
      </c>
      <c r="D162" s="6">
        <v>50865.27</v>
      </c>
      <c r="E162" s="6">
        <v>16785.54</v>
      </c>
    </row>
    <row r="163" spans="1:5" x14ac:dyDescent="0.25">
      <c r="A163" t="str">
        <f>"053926"</f>
        <v>053926</v>
      </c>
      <c r="B163" t="s">
        <v>163</v>
      </c>
      <c r="C163">
        <v>424</v>
      </c>
      <c r="D163" s="6">
        <v>181234.23</v>
      </c>
      <c r="E163" s="6">
        <v>59807.3</v>
      </c>
    </row>
    <row r="164" spans="1:5" x14ac:dyDescent="0.25">
      <c r="A164" t="str">
        <f>"053934"</f>
        <v>053934</v>
      </c>
      <c r="B164" t="s">
        <v>164</v>
      </c>
      <c r="C164">
        <v>442</v>
      </c>
      <c r="D164" s="6">
        <v>188928.13</v>
      </c>
      <c r="E164" s="6">
        <v>62346.28</v>
      </c>
    </row>
    <row r="165" spans="1:5" x14ac:dyDescent="0.25">
      <c r="A165" t="str">
        <f>"053942"</f>
        <v>053942</v>
      </c>
      <c r="B165" t="s">
        <v>165</v>
      </c>
      <c r="C165">
        <v>620</v>
      </c>
      <c r="D165" s="6">
        <v>265012.32</v>
      </c>
      <c r="E165" s="6">
        <v>87454.07</v>
      </c>
    </row>
    <row r="166" spans="1:5" x14ac:dyDescent="0.25">
      <c r="A166" t="str">
        <f>"053975"</f>
        <v>053975</v>
      </c>
      <c r="B166" t="s">
        <v>166</v>
      </c>
      <c r="C166">
        <v>209</v>
      </c>
      <c r="D166" s="6">
        <v>89334.8</v>
      </c>
      <c r="E166" s="6">
        <v>29480.48</v>
      </c>
    </row>
    <row r="167" spans="1:5" x14ac:dyDescent="0.25">
      <c r="A167" t="str">
        <f>"053983"</f>
        <v>053983</v>
      </c>
      <c r="B167" t="s">
        <v>167</v>
      </c>
      <c r="C167">
        <v>545</v>
      </c>
      <c r="D167" s="6">
        <v>232954.37</v>
      </c>
      <c r="E167" s="6">
        <v>76874.94</v>
      </c>
    </row>
    <row r="168" spans="1:5" x14ac:dyDescent="0.25">
      <c r="A168" t="str">
        <f>"054015"</f>
        <v>054015</v>
      </c>
      <c r="B168" t="s">
        <v>168</v>
      </c>
      <c r="C168">
        <v>659</v>
      </c>
      <c r="D168" s="6">
        <v>281682.45</v>
      </c>
      <c r="E168" s="6">
        <v>92955.21</v>
      </c>
    </row>
    <row r="169" spans="1:5" x14ac:dyDescent="0.25">
      <c r="A169" t="str">
        <f>"054031"</f>
        <v>054031</v>
      </c>
      <c r="B169" t="s">
        <v>169</v>
      </c>
      <c r="C169">
        <v>74</v>
      </c>
      <c r="D169" s="6">
        <v>31630.5</v>
      </c>
      <c r="E169" s="6">
        <v>10438.07</v>
      </c>
    </row>
    <row r="170" spans="1:5" x14ac:dyDescent="0.25">
      <c r="A170" t="str">
        <f>"054148"</f>
        <v>054148</v>
      </c>
      <c r="B170" t="s">
        <v>170</v>
      </c>
      <c r="C170">
        <v>24</v>
      </c>
      <c r="D170" s="6">
        <v>10258.540000000001</v>
      </c>
      <c r="E170" s="6">
        <v>3385.32</v>
      </c>
    </row>
    <row r="171" spans="1:5" x14ac:dyDescent="0.25">
      <c r="A171" t="str">
        <f>"054163"</f>
        <v>054163</v>
      </c>
      <c r="B171" t="s">
        <v>171</v>
      </c>
      <c r="C171">
        <v>33</v>
      </c>
      <c r="D171" s="6">
        <v>14105.49</v>
      </c>
      <c r="E171" s="6">
        <v>4654.8100000000004</v>
      </c>
    </row>
    <row r="172" spans="1:5" x14ac:dyDescent="0.25">
      <c r="A172" t="str">
        <f>"054171"</f>
        <v>054171</v>
      </c>
      <c r="B172" t="s">
        <v>172</v>
      </c>
      <c r="C172">
        <v>83</v>
      </c>
      <c r="D172" s="6">
        <v>35477.46</v>
      </c>
      <c r="E172" s="6">
        <v>11707.56</v>
      </c>
    </row>
    <row r="173" spans="1:5" x14ac:dyDescent="0.25">
      <c r="A173" t="str">
        <f>"054205"</f>
        <v>054205</v>
      </c>
      <c r="B173" t="s">
        <v>173</v>
      </c>
      <c r="C173">
        <v>487</v>
      </c>
      <c r="D173" s="6">
        <v>208162.9</v>
      </c>
      <c r="E173" s="6">
        <v>68693.759999999995</v>
      </c>
    </row>
    <row r="174" spans="1:5" x14ac:dyDescent="0.25">
      <c r="A174" t="str">
        <f>"054213"</f>
        <v>054213</v>
      </c>
      <c r="B174" t="s">
        <v>174</v>
      </c>
      <c r="C174">
        <v>139</v>
      </c>
      <c r="D174" s="6">
        <v>59414.05</v>
      </c>
      <c r="E174" s="6">
        <v>19606.64</v>
      </c>
    </row>
    <row r="175" spans="1:5" x14ac:dyDescent="0.25">
      <c r="A175" t="str">
        <f>"054239"</f>
        <v>054239</v>
      </c>
      <c r="B175" t="s">
        <v>175</v>
      </c>
      <c r="C175">
        <v>304</v>
      </c>
      <c r="D175" s="6">
        <v>129941.52</v>
      </c>
      <c r="E175" s="6">
        <v>42880.7</v>
      </c>
    </row>
    <row r="176" spans="1:5" x14ac:dyDescent="0.25">
      <c r="A176" t="str">
        <f>"054270"</f>
        <v>054270</v>
      </c>
      <c r="B176" t="s">
        <v>176</v>
      </c>
      <c r="C176">
        <v>312</v>
      </c>
      <c r="D176" s="6">
        <v>133361.04</v>
      </c>
      <c r="E176" s="6">
        <v>44009.14</v>
      </c>
    </row>
    <row r="177" spans="1:5" x14ac:dyDescent="0.25">
      <c r="A177" t="str">
        <f>"054288"</f>
        <v>054288</v>
      </c>
      <c r="B177" t="s">
        <v>177</v>
      </c>
      <c r="C177">
        <v>133</v>
      </c>
      <c r="D177" s="6">
        <v>56849.42</v>
      </c>
      <c r="E177" s="6">
        <v>18760.310000000001</v>
      </c>
    </row>
    <row r="178" spans="1:5" x14ac:dyDescent="0.25">
      <c r="A178" t="str">
        <f>"054312"</f>
        <v>054312</v>
      </c>
      <c r="B178" t="s">
        <v>178</v>
      </c>
      <c r="C178">
        <v>281</v>
      </c>
      <c r="D178" s="6">
        <v>120110.42</v>
      </c>
      <c r="E178" s="6">
        <v>39636.44</v>
      </c>
    </row>
    <row r="179" spans="1:5" x14ac:dyDescent="0.25">
      <c r="A179" t="str">
        <f>"054320"</f>
        <v>054320</v>
      </c>
      <c r="B179" t="s">
        <v>179</v>
      </c>
      <c r="C179">
        <v>405</v>
      </c>
      <c r="D179" s="6">
        <v>173112.88</v>
      </c>
      <c r="E179" s="6">
        <v>57127.25</v>
      </c>
    </row>
    <row r="180" spans="1:5" x14ac:dyDescent="0.25">
      <c r="A180" t="str">
        <f>"054338"</f>
        <v>054338</v>
      </c>
      <c r="B180" t="s">
        <v>180</v>
      </c>
      <c r="C180">
        <v>288</v>
      </c>
      <c r="D180" s="6">
        <v>123102.5</v>
      </c>
      <c r="E180" s="6">
        <v>40623.83</v>
      </c>
    </row>
    <row r="181" spans="1:5" x14ac:dyDescent="0.25">
      <c r="A181" t="str">
        <f>"054346"</f>
        <v>054346</v>
      </c>
      <c r="B181" t="s">
        <v>180</v>
      </c>
      <c r="C181">
        <v>206</v>
      </c>
      <c r="D181" s="6">
        <v>88052.479999999996</v>
      </c>
      <c r="E181" s="6">
        <v>29057.32</v>
      </c>
    </row>
    <row r="182" spans="1:5" x14ac:dyDescent="0.25">
      <c r="A182" t="str">
        <f>"054361"</f>
        <v>054361</v>
      </c>
      <c r="B182" t="s">
        <v>181</v>
      </c>
      <c r="C182">
        <v>184</v>
      </c>
      <c r="D182" s="6">
        <v>78648.820000000007</v>
      </c>
      <c r="E182" s="6">
        <v>25954.11</v>
      </c>
    </row>
    <row r="183" spans="1:5" x14ac:dyDescent="0.25">
      <c r="A183" t="str">
        <f>"054387"</f>
        <v>054387</v>
      </c>
      <c r="B183" t="s">
        <v>182</v>
      </c>
      <c r="C183">
        <v>158</v>
      </c>
      <c r="D183" s="6">
        <v>67535.399999999994</v>
      </c>
      <c r="E183" s="6">
        <v>22286.68</v>
      </c>
    </row>
    <row r="184" spans="1:5" x14ac:dyDescent="0.25">
      <c r="A184" t="str">
        <f>"054411"</f>
        <v>054411</v>
      </c>
      <c r="B184" t="s">
        <v>183</v>
      </c>
      <c r="C184">
        <v>130</v>
      </c>
      <c r="D184" s="6">
        <v>54873.04</v>
      </c>
      <c r="E184" s="6">
        <v>18108.099999999999</v>
      </c>
    </row>
    <row r="185" spans="1:5" x14ac:dyDescent="0.25">
      <c r="A185" t="str">
        <f>"054429"</f>
        <v>054429</v>
      </c>
      <c r="B185" t="s">
        <v>183</v>
      </c>
      <c r="C185">
        <v>289</v>
      </c>
      <c r="D185" s="6">
        <v>123529.93</v>
      </c>
      <c r="E185" s="6">
        <v>40764.879999999997</v>
      </c>
    </row>
    <row r="186" spans="1:5" x14ac:dyDescent="0.25">
      <c r="A186" t="str">
        <f>"054437"</f>
        <v>054437</v>
      </c>
      <c r="B186" t="s">
        <v>184</v>
      </c>
      <c r="C186">
        <v>543</v>
      </c>
      <c r="D186" s="6">
        <v>232099.5</v>
      </c>
      <c r="E186" s="6">
        <v>76592.84</v>
      </c>
    </row>
    <row r="187" spans="1:5" x14ac:dyDescent="0.25">
      <c r="A187" t="str">
        <f>"054445"</f>
        <v>054445</v>
      </c>
      <c r="B187" t="s">
        <v>185</v>
      </c>
      <c r="C187">
        <v>838</v>
      </c>
      <c r="D187" s="6">
        <v>358194.07</v>
      </c>
      <c r="E187" s="6">
        <v>118204.04</v>
      </c>
    </row>
    <row r="188" spans="1:5" x14ac:dyDescent="0.25">
      <c r="A188" t="str">
        <f>"054486"</f>
        <v>054486</v>
      </c>
      <c r="B188" t="s">
        <v>186</v>
      </c>
      <c r="C188">
        <v>375</v>
      </c>
      <c r="D188" s="6">
        <v>160289.71</v>
      </c>
      <c r="E188" s="6">
        <v>52895.6</v>
      </c>
    </row>
    <row r="189" spans="1:5" x14ac:dyDescent="0.25">
      <c r="A189" t="str">
        <f>"054510"</f>
        <v>054510</v>
      </c>
      <c r="B189" t="s">
        <v>187</v>
      </c>
      <c r="C189">
        <v>295</v>
      </c>
      <c r="D189" s="6">
        <v>126094.57</v>
      </c>
      <c r="E189" s="6">
        <v>41611.21</v>
      </c>
    </row>
    <row r="190" spans="1:5" x14ac:dyDescent="0.25">
      <c r="A190" t="str">
        <f>"054544"</f>
        <v>054544</v>
      </c>
      <c r="B190" t="s">
        <v>188</v>
      </c>
      <c r="C190">
        <v>191</v>
      </c>
      <c r="D190" s="6">
        <v>76405.31</v>
      </c>
      <c r="E190" s="6">
        <v>25213.75</v>
      </c>
    </row>
    <row r="191" spans="1:5" x14ac:dyDescent="0.25">
      <c r="A191" t="str">
        <f>"054577"</f>
        <v>054577</v>
      </c>
      <c r="B191" t="s">
        <v>189</v>
      </c>
      <c r="C191">
        <v>401</v>
      </c>
      <c r="D191" s="6">
        <v>171403.13</v>
      </c>
      <c r="E191" s="6">
        <v>56563.03</v>
      </c>
    </row>
    <row r="192" spans="1:5" x14ac:dyDescent="0.25">
      <c r="A192" t="str">
        <f>"054585"</f>
        <v>054585</v>
      </c>
      <c r="B192" t="s">
        <v>190</v>
      </c>
      <c r="C192">
        <v>762</v>
      </c>
      <c r="D192" s="6">
        <v>325708.69</v>
      </c>
      <c r="E192" s="6">
        <v>107483.87</v>
      </c>
    </row>
    <row r="193" spans="1:5" x14ac:dyDescent="0.25">
      <c r="A193" t="str">
        <f>"054601"</f>
        <v>054601</v>
      </c>
      <c r="B193" t="s">
        <v>191</v>
      </c>
      <c r="C193">
        <v>192</v>
      </c>
      <c r="D193" s="6">
        <v>82068.33</v>
      </c>
      <c r="E193" s="6">
        <v>27082.55</v>
      </c>
    </row>
    <row r="194" spans="1:5" x14ac:dyDescent="0.25">
      <c r="A194" t="str">
        <f>"054627"</f>
        <v>054627</v>
      </c>
      <c r="B194" t="s">
        <v>192</v>
      </c>
      <c r="C194">
        <v>164</v>
      </c>
      <c r="D194" s="6">
        <v>70100.03</v>
      </c>
      <c r="E194" s="6">
        <v>23133.01</v>
      </c>
    </row>
    <row r="195" spans="1:5" x14ac:dyDescent="0.25">
      <c r="A195" t="str">
        <f>"054635"</f>
        <v>054635</v>
      </c>
      <c r="B195" t="s">
        <v>193</v>
      </c>
      <c r="C195">
        <v>192</v>
      </c>
      <c r="D195" s="6">
        <v>82068.33</v>
      </c>
      <c r="E195" s="6">
        <v>27082.55</v>
      </c>
    </row>
    <row r="196" spans="1:5" x14ac:dyDescent="0.25">
      <c r="A196" t="str">
        <f>"054650"</f>
        <v>054650</v>
      </c>
      <c r="B196" t="s">
        <v>194</v>
      </c>
      <c r="C196">
        <v>450</v>
      </c>
      <c r="D196" s="6">
        <v>160492.96</v>
      </c>
      <c r="E196" s="6">
        <v>52962.68</v>
      </c>
    </row>
    <row r="197" spans="1:5" x14ac:dyDescent="0.25">
      <c r="A197" t="str">
        <f>"054692"</f>
        <v>054692</v>
      </c>
      <c r="B197" t="s">
        <v>195</v>
      </c>
      <c r="C197">
        <v>269</v>
      </c>
      <c r="D197" s="6">
        <v>114981.15</v>
      </c>
      <c r="E197" s="6">
        <v>37943.78</v>
      </c>
    </row>
    <row r="198" spans="1:5" x14ac:dyDescent="0.25">
      <c r="A198" t="str">
        <f>"054718"</f>
        <v>054718</v>
      </c>
      <c r="B198" t="s">
        <v>196</v>
      </c>
      <c r="C198">
        <v>141</v>
      </c>
      <c r="D198" s="6">
        <v>60268.93</v>
      </c>
      <c r="E198" s="6">
        <v>19888.75</v>
      </c>
    </row>
    <row r="199" spans="1:5" x14ac:dyDescent="0.25">
      <c r="A199" t="str">
        <f>"054726"</f>
        <v>054726</v>
      </c>
      <c r="B199" t="s">
        <v>197</v>
      </c>
      <c r="C199">
        <v>97</v>
      </c>
      <c r="D199" s="6">
        <v>41461.599999999999</v>
      </c>
      <c r="E199" s="6">
        <v>13682.33</v>
      </c>
    </row>
    <row r="200" spans="1:5" x14ac:dyDescent="0.25">
      <c r="A200" t="str">
        <f>"054742"</f>
        <v>054742</v>
      </c>
      <c r="B200" t="s">
        <v>198</v>
      </c>
      <c r="C200">
        <v>404</v>
      </c>
      <c r="D200" s="6">
        <v>172685.44</v>
      </c>
      <c r="E200" s="6">
        <v>56986.2</v>
      </c>
    </row>
    <row r="201" spans="1:5" x14ac:dyDescent="0.25">
      <c r="A201" t="str">
        <f>"054759"</f>
        <v>054759</v>
      </c>
      <c r="B201" t="s">
        <v>199</v>
      </c>
      <c r="C201">
        <v>170</v>
      </c>
      <c r="D201" s="6">
        <v>72664.67</v>
      </c>
      <c r="E201" s="6">
        <v>23979.34</v>
      </c>
    </row>
    <row r="202" spans="1:5" x14ac:dyDescent="0.25">
      <c r="A202" t="str">
        <f>"054775"</f>
        <v>054775</v>
      </c>
      <c r="B202" t="s">
        <v>200</v>
      </c>
      <c r="C202">
        <v>196</v>
      </c>
      <c r="D202" s="6">
        <v>83778.09</v>
      </c>
      <c r="E202" s="6">
        <v>27646.77</v>
      </c>
    </row>
    <row r="203" spans="1:5" x14ac:dyDescent="0.25">
      <c r="A203" t="str">
        <f>"054783"</f>
        <v>054783</v>
      </c>
      <c r="B203" t="s">
        <v>201</v>
      </c>
      <c r="C203">
        <v>387</v>
      </c>
      <c r="D203" s="6">
        <v>165418.98000000001</v>
      </c>
      <c r="E203" s="6">
        <v>54588.26</v>
      </c>
    </row>
    <row r="204" spans="1:5" x14ac:dyDescent="0.25">
      <c r="A204" t="str">
        <f>"054809"</f>
        <v>054809</v>
      </c>
      <c r="B204" t="s">
        <v>202</v>
      </c>
      <c r="C204">
        <v>405</v>
      </c>
      <c r="D204" s="6">
        <v>173112.88</v>
      </c>
      <c r="E204" s="6">
        <v>57127.25</v>
      </c>
    </row>
    <row r="205" spans="1:5" x14ac:dyDescent="0.25">
      <c r="A205" t="str">
        <f>"054817"</f>
        <v>054817</v>
      </c>
      <c r="B205" t="s">
        <v>203</v>
      </c>
      <c r="C205">
        <v>210</v>
      </c>
      <c r="D205" s="6">
        <v>89762.240000000005</v>
      </c>
      <c r="E205" s="6">
        <v>29621.54</v>
      </c>
    </row>
    <row r="206" spans="1:5" x14ac:dyDescent="0.25">
      <c r="A206" t="str">
        <f>"054833"</f>
        <v>054833</v>
      </c>
      <c r="B206" t="s">
        <v>204</v>
      </c>
      <c r="C206">
        <v>205</v>
      </c>
      <c r="D206" s="6">
        <v>87625.04</v>
      </c>
      <c r="E206" s="6">
        <v>28916.26</v>
      </c>
    </row>
    <row r="207" spans="1:5" x14ac:dyDescent="0.25">
      <c r="A207" t="str">
        <f>"054866"</f>
        <v>054866</v>
      </c>
      <c r="B207" t="s">
        <v>205</v>
      </c>
      <c r="C207">
        <v>187</v>
      </c>
      <c r="D207" s="6">
        <v>79931.13</v>
      </c>
      <c r="E207" s="6">
        <v>26377.27</v>
      </c>
    </row>
    <row r="208" spans="1:5" x14ac:dyDescent="0.25">
      <c r="A208" t="str">
        <f>"054882"</f>
        <v>054882</v>
      </c>
      <c r="B208" t="s">
        <v>206</v>
      </c>
      <c r="C208">
        <v>205</v>
      </c>
      <c r="D208" s="6">
        <v>87625.04</v>
      </c>
      <c r="E208" s="6">
        <v>28916.26</v>
      </c>
    </row>
    <row r="209" spans="1:5" x14ac:dyDescent="0.25">
      <c r="A209" t="str">
        <f>"054890"</f>
        <v>054890</v>
      </c>
      <c r="B209" t="s">
        <v>207</v>
      </c>
      <c r="C209">
        <v>155</v>
      </c>
      <c r="D209" s="6">
        <v>66253.08</v>
      </c>
      <c r="E209" s="6">
        <v>21863.52</v>
      </c>
    </row>
    <row r="210" spans="1:5" x14ac:dyDescent="0.25">
      <c r="A210" t="str">
        <f>"054908"</f>
        <v>054908</v>
      </c>
      <c r="B210" t="s">
        <v>208</v>
      </c>
      <c r="C210">
        <v>229</v>
      </c>
      <c r="D210" s="6">
        <v>97883.58</v>
      </c>
      <c r="E210" s="6">
        <v>32301.58</v>
      </c>
    </row>
    <row r="211" spans="1:5" x14ac:dyDescent="0.25">
      <c r="A211" t="str">
        <f>"054916"</f>
        <v>054916</v>
      </c>
      <c r="B211" t="s">
        <v>209</v>
      </c>
      <c r="C211">
        <v>411</v>
      </c>
      <c r="D211" s="6">
        <v>175677.52</v>
      </c>
      <c r="E211" s="6">
        <v>57973.58</v>
      </c>
    </row>
    <row r="212" spans="1:5" x14ac:dyDescent="0.25">
      <c r="A212" t="str">
        <f>"054932"</f>
        <v>054932</v>
      </c>
      <c r="B212" t="s">
        <v>210</v>
      </c>
      <c r="C212">
        <v>290</v>
      </c>
      <c r="D212" s="6">
        <v>123957.37</v>
      </c>
      <c r="E212" s="6">
        <v>40905.93</v>
      </c>
    </row>
    <row r="213" spans="1:5" x14ac:dyDescent="0.25">
      <c r="A213" t="str">
        <f>"054957"</f>
        <v>054957</v>
      </c>
      <c r="B213" t="s">
        <v>211</v>
      </c>
      <c r="C213">
        <v>286</v>
      </c>
      <c r="D213" s="6">
        <v>122247.62</v>
      </c>
      <c r="E213" s="6">
        <v>40341.71</v>
      </c>
    </row>
    <row r="214" spans="1:5" x14ac:dyDescent="0.25">
      <c r="A214" t="str">
        <f>"054965"</f>
        <v>054965</v>
      </c>
      <c r="B214" t="s">
        <v>212</v>
      </c>
      <c r="C214">
        <v>492</v>
      </c>
      <c r="D214" s="6">
        <v>210300.1</v>
      </c>
      <c r="E214" s="6">
        <v>69399.03</v>
      </c>
    </row>
    <row r="215" spans="1:5" x14ac:dyDescent="0.25">
      <c r="A215" t="str">
        <f>"054973"</f>
        <v>054973</v>
      </c>
      <c r="B215" t="s">
        <v>213</v>
      </c>
      <c r="C215">
        <v>364</v>
      </c>
      <c r="D215" s="6">
        <v>155587.88</v>
      </c>
      <c r="E215" s="6">
        <v>51344</v>
      </c>
    </row>
    <row r="216" spans="1:5" x14ac:dyDescent="0.25">
      <c r="A216" t="str">
        <f>"054999"</f>
        <v>054999</v>
      </c>
      <c r="B216" t="s">
        <v>214</v>
      </c>
      <c r="C216">
        <v>215</v>
      </c>
      <c r="D216" s="6">
        <v>91899.43</v>
      </c>
      <c r="E216" s="6">
        <v>30326.81</v>
      </c>
    </row>
    <row r="217" spans="1:5" x14ac:dyDescent="0.25">
      <c r="A217" t="str">
        <f>"055004"</f>
        <v>055004</v>
      </c>
      <c r="B217" t="s">
        <v>214</v>
      </c>
      <c r="C217">
        <v>172</v>
      </c>
      <c r="D217" s="6">
        <v>73519.55</v>
      </c>
      <c r="E217" s="6">
        <v>24261.45</v>
      </c>
    </row>
    <row r="218" spans="1:5" x14ac:dyDescent="0.25">
      <c r="A218" t="str">
        <f>"055012"</f>
        <v>055012</v>
      </c>
      <c r="B218" t="s">
        <v>215</v>
      </c>
      <c r="C218">
        <v>176</v>
      </c>
      <c r="D218" s="6">
        <v>75229.3</v>
      </c>
      <c r="E218" s="6">
        <v>24825.67</v>
      </c>
    </row>
    <row r="219" spans="1:5" x14ac:dyDescent="0.25">
      <c r="A219" t="str">
        <f>"055020"</f>
        <v>055020</v>
      </c>
      <c r="B219" t="s">
        <v>216</v>
      </c>
      <c r="C219">
        <v>329</v>
      </c>
      <c r="D219" s="6">
        <v>140627.5</v>
      </c>
      <c r="E219" s="6">
        <v>46407.08</v>
      </c>
    </row>
    <row r="220" spans="1:5" x14ac:dyDescent="0.25">
      <c r="A220" t="str">
        <f>"055038"</f>
        <v>055038</v>
      </c>
      <c r="B220" t="s">
        <v>217</v>
      </c>
      <c r="C220">
        <v>186</v>
      </c>
      <c r="D220" s="6">
        <v>79503.69</v>
      </c>
      <c r="E220" s="6">
        <v>26236.22</v>
      </c>
    </row>
    <row r="221" spans="1:5" x14ac:dyDescent="0.25">
      <c r="A221" t="str">
        <f>"055046"</f>
        <v>055046</v>
      </c>
      <c r="B221" t="s">
        <v>218</v>
      </c>
      <c r="C221">
        <v>342</v>
      </c>
      <c r="D221" s="6">
        <v>146184.21</v>
      </c>
      <c r="E221" s="6">
        <v>48240.79</v>
      </c>
    </row>
    <row r="222" spans="1:5" x14ac:dyDescent="0.25">
      <c r="A222" t="str">
        <f>"055053"</f>
        <v>055053</v>
      </c>
      <c r="B222" t="s">
        <v>219</v>
      </c>
      <c r="C222">
        <v>389</v>
      </c>
      <c r="D222" s="6">
        <v>166273.85999999999</v>
      </c>
      <c r="E222" s="6">
        <v>54870.37</v>
      </c>
    </row>
    <row r="223" spans="1:5" x14ac:dyDescent="0.25">
      <c r="A223" t="str">
        <f>"055087"</f>
        <v>055087</v>
      </c>
      <c r="B223" t="s">
        <v>220</v>
      </c>
      <c r="C223">
        <v>1029</v>
      </c>
      <c r="D223" s="6">
        <v>439834.96</v>
      </c>
      <c r="E223" s="6">
        <v>145145.54</v>
      </c>
    </row>
    <row r="224" spans="1:5" x14ac:dyDescent="0.25">
      <c r="A224" t="str">
        <f>"055103"</f>
        <v>055103</v>
      </c>
      <c r="B224" t="s">
        <v>221</v>
      </c>
      <c r="C224">
        <v>554</v>
      </c>
      <c r="D224" s="6">
        <v>236801.33</v>
      </c>
      <c r="E224" s="6">
        <v>78144.44</v>
      </c>
    </row>
    <row r="225" spans="1:5" x14ac:dyDescent="0.25">
      <c r="A225" t="str">
        <f>"055129"</f>
        <v>055129</v>
      </c>
      <c r="B225" t="s">
        <v>222</v>
      </c>
      <c r="C225">
        <v>345</v>
      </c>
      <c r="D225" s="6">
        <v>147466.53</v>
      </c>
      <c r="E225" s="6">
        <v>48663.95</v>
      </c>
    </row>
    <row r="226" spans="1:5" x14ac:dyDescent="0.25">
      <c r="A226" t="str">
        <f>"055137"</f>
        <v>055137</v>
      </c>
      <c r="B226" t="s">
        <v>223</v>
      </c>
      <c r="C226">
        <v>387</v>
      </c>
      <c r="D226" s="6">
        <v>165418.98000000001</v>
      </c>
      <c r="E226" s="6">
        <v>54588.26</v>
      </c>
    </row>
    <row r="227" spans="1:5" x14ac:dyDescent="0.25">
      <c r="A227" t="str">
        <f>"055145"</f>
        <v>055145</v>
      </c>
      <c r="B227" t="s">
        <v>223</v>
      </c>
      <c r="C227">
        <v>230</v>
      </c>
      <c r="D227" s="6">
        <v>98311.02</v>
      </c>
      <c r="E227" s="6">
        <v>32442.639999999999</v>
      </c>
    </row>
    <row r="228" spans="1:5" x14ac:dyDescent="0.25">
      <c r="A228" t="str">
        <f>"055152"</f>
        <v>055152</v>
      </c>
      <c r="B228" t="s">
        <v>224</v>
      </c>
      <c r="C228">
        <v>160</v>
      </c>
      <c r="D228" s="6">
        <v>68390.28</v>
      </c>
      <c r="E228" s="6">
        <v>22568.79</v>
      </c>
    </row>
    <row r="229" spans="1:5" x14ac:dyDescent="0.25">
      <c r="A229" t="str">
        <f>"055160"</f>
        <v>055160</v>
      </c>
      <c r="B229" t="s">
        <v>225</v>
      </c>
      <c r="C229">
        <v>218</v>
      </c>
      <c r="D229" s="6">
        <v>83142.679999999993</v>
      </c>
      <c r="E229" s="6">
        <v>27437.08</v>
      </c>
    </row>
    <row r="230" spans="1:5" x14ac:dyDescent="0.25">
      <c r="A230" t="str">
        <f>"055178"</f>
        <v>055178</v>
      </c>
      <c r="B230" t="s">
        <v>225</v>
      </c>
      <c r="C230">
        <v>196</v>
      </c>
      <c r="D230" s="6">
        <v>83778.09</v>
      </c>
      <c r="E230" s="6">
        <v>27646.77</v>
      </c>
    </row>
    <row r="231" spans="1:5" x14ac:dyDescent="0.25">
      <c r="A231" t="str">
        <f>"055202"</f>
        <v>055202</v>
      </c>
      <c r="B231" t="s">
        <v>226</v>
      </c>
      <c r="C231">
        <v>88</v>
      </c>
      <c r="D231" s="6">
        <v>37614.65</v>
      </c>
      <c r="E231" s="6">
        <v>12412.83</v>
      </c>
    </row>
    <row r="232" spans="1:5" x14ac:dyDescent="0.25">
      <c r="A232" t="str">
        <f>"055210"</f>
        <v>055210</v>
      </c>
      <c r="B232" t="s">
        <v>227</v>
      </c>
      <c r="C232">
        <v>463</v>
      </c>
      <c r="D232" s="6">
        <v>197904.36</v>
      </c>
      <c r="E232" s="6">
        <v>65308.44</v>
      </c>
    </row>
    <row r="233" spans="1:5" x14ac:dyDescent="0.25">
      <c r="A233" t="str">
        <f>"055228"</f>
        <v>055228</v>
      </c>
      <c r="B233" t="s">
        <v>228</v>
      </c>
      <c r="C233">
        <v>318</v>
      </c>
      <c r="D233" s="6">
        <v>135925.67000000001</v>
      </c>
      <c r="E233" s="6">
        <v>44855.47</v>
      </c>
    </row>
    <row r="234" spans="1:5" x14ac:dyDescent="0.25">
      <c r="A234" t="str">
        <f>"055244"</f>
        <v>055244</v>
      </c>
      <c r="B234" t="s">
        <v>229</v>
      </c>
      <c r="C234">
        <v>126</v>
      </c>
      <c r="D234" s="6">
        <v>53857.34</v>
      </c>
      <c r="E234" s="6">
        <v>17772.919999999998</v>
      </c>
    </row>
    <row r="235" spans="1:5" x14ac:dyDescent="0.25">
      <c r="A235" t="str">
        <f>"055251"</f>
        <v>055251</v>
      </c>
      <c r="B235" t="s">
        <v>230</v>
      </c>
      <c r="C235">
        <v>349</v>
      </c>
      <c r="D235" s="6">
        <v>149176.29</v>
      </c>
      <c r="E235" s="6">
        <v>49228.18</v>
      </c>
    </row>
    <row r="236" spans="1:5" x14ac:dyDescent="0.25">
      <c r="A236" t="str">
        <f>"055293"</f>
        <v>055293</v>
      </c>
      <c r="B236" t="s">
        <v>231</v>
      </c>
      <c r="C236">
        <v>271</v>
      </c>
      <c r="D236" s="6">
        <v>115836.03</v>
      </c>
      <c r="E236" s="6">
        <v>38225.89</v>
      </c>
    </row>
    <row r="237" spans="1:5" x14ac:dyDescent="0.25">
      <c r="A237" t="str">
        <f>"055319"</f>
        <v>055319</v>
      </c>
      <c r="B237" t="s">
        <v>232</v>
      </c>
      <c r="C237">
        <v>461</v>
      </c>
      <c r="D237" s="6">
        <v>197049.48</v>
      </c>
      <c r="E237" s="6">
        <v>65026.33</v>
      </c>
    </row>
    <row r="238" spans="1:5" x14ac:dyDescent="0.25">
      <c r="A238" t="str">
        <f>"055335"</f>
        <v>055335</v>
      </c>
      <c r="B238" t="s">
        <v>232</v>
      </c>
      <c r="C238">
        <v>73</v>
      </c>
      <c r="D238" s="6">
        <v>31203.06</v>
      </c>
      <c r="E238" s="6">
        <v>10297.01</v>
      </c>
    </row>
    <row r="239" spans="1:5" x14ac:dyDescent="0.25">
      <c r="A239" t="str">
        <f>"055368"</f>
        <v>055368</v>
      </c>
      <c r="B239" t="s">
        <v>233</v>
      </c>
      <c r="C239">
        <v>122</v>
      </c>
      <c r="D239" s="6">
        <v>52147.58</v>
      </c>
      <c r="E239" s="6">
        <v>17208.7</v>
      </c>
    </row>
    <row r="240" spans="1:5" x14ac:dyDescent="0.25">
      <c r="A240" t="str">
        <f>"055400"</f>
        <v>055400</v>
      </c>
      <c r="B240" t="s">
        <v>234</v>
      </c>
      <c r="C240">
        <v>82</v>
      </c>
      <c r="D240" s="6">
        <v>35050.019999999997</v>
      </c>
      <c r="E240" s="6">
        <v>11566.51</v>
      </c>
    </row>
    <row r="241" spans="1:5" x14ac:dyDescent="0.25">
      <c r="A241" t="str">
        <f>"055418"</f>
        <v>055418</v>
      </c>
      <c r="B241" t="s">
        <v>235</v>
      </c>
      <c r="C241">
        <v>408</v>
      </c>
      <c r="D241" s="6">
        <v>174395.2</v>
      </c>
      <c r="E241" s="6">
        <v>57550.42</v>
      </c>
    </row>
    <row r="242" spans="1:5" x14ac:dyDescent="0.25">
      <c r="A242" t="str">
        <f>"055434"</f>
        <v>055434</v>
      </c>
      <c r="B242" t="s">
        <v>236</v>
      </c>
      <c r="C242">
        <v>148</v>
      </c>
      <c r="D242" s="6">
        <v>63261</v>
      </c>
      <c r="E242" s="6">
        <v>20876.13</v>
      </c>
    </row>
    <row r="243" spans="1:5" x14ac:dyDescent="0.25">
      <c r="A243" t="str">
        <f>"055442"</f>
        <v>055442</v>
      </c>
      <c r="B243" t="s">
        <v>237</v>
      </c>
      <c r="C243">
        <v>456</v>
      </c>
      <c r="D243" s="6">
        <v>194912.28</v>
      </c>
      <c r="E243" s="6">
        <v>64321.05</v>
      </c>
    </row>
    <row r="244" spans="1:5" x14ac:dyDescent="0.25">
      <c r="A244" t="str">
        <f>"055475"</f>
        <v>055475</v>
      </c>
      <c r="B244" t="s">
        <v>238</v>
      </c>
      <c r="C244">
        <v>177</v>
      </c>
      <c r="D244" s="6">
        <v>75656.740000000005</v>
      </c>
      <c r="E244" s="6">
        <v>24966.720000000001</v>
      </c>
    </row>
    <row r="245" spans="1:5" x14ac:dyDescent="0.25">
      <c r="A245" t="str">
        <f>"055566"</f>
        <v>055566</v>
      </c>
      <c r="B245" t="s">
        <v>239</v>
      </c>
      <c r="C245">
        <v>692</v>
      </c>
      <c r="D245" s="6">
        <v>282940.05</v>
      </c>
      <c r="E245" s="6">
        <v>93370.22</v>
      </c>
    </row>
    <row r="246" spans="1:5" x14ac:dyDescent="0.25">
      <c r="A246" t="str">
        <f>"055582"</f>
        <v>055582</v>
      </c>
      <c r="B246" t="s">
        <v>240</v>
      </c>
      <c r="C246">
        <v>222</v>
      </c>
      <c r="D246" s="6">
        <v>94891.51</v>
      </c>
      <c r="E246" s="6">
        <v>31314.2</v>
      </c>
    </row>
    <row r="247" spans="1:5" x14ac:dyDescent="0.25">
      <c r="A247" t="str">
        <f>"055590"</f>
        <v>055590</v>
      </c>
      <c r="B247" t="s">
        <v>241</v>
      </c>
      <c r="C247">
        <v>219</v>
      </c>
      <c r="D247" s="6">
        <v>93609.19</v>
      </c>
      <c r="E247" s="6">
        <v>30891.03</v>
      </c>
    </row>
    <row r="248" spans="1:5" x14ac:dyDescent="0.25">
      <c r="A248" t="str">
        <f>"055608"</f>
        <v>055608</v>
      </c>
      <c r="B248" t="s">
        <v>242</v>
      </c>
      <c r="C248">
        <v>322</v>
      </c>
      <c r="D248" s="6">
        <v>137635.43</v>
      </c>
      <c r="E248" s="6">
        <v>45419.69</v>
      </c>
    </row>
    <row r="249" spans="1:5" x14ac:dyDescent="0.25">
      <c r="A249" t="str">
        <f>"055632"</f>
        <v>055632</v>
      </c>
      <c r="B249" t="s">
        <v>243</v>
      </c>
      <c r="C249">
        <v>142</v>
      </c>
      <c r="D249" s="6">
        <v>60696.37</v>
      </c>
      <c r="E249" s="6">
        <v>20029.8</v>
      </c>
    </row>
    <row r="250" spans="1:5" x14ac:dyDescent="0.25">
      <c r="A250" t="str">
        <f>"055640"</f>
        <v>055640</v>
      </c>
      <c r="B250" t="s">
        <v>244</v>
      </c>
      <c r="C250">
        <v>226</v>
      </c>
      <c r="D250" s="6">
        <v>96601.26</v>
      </c>
      <c r="E250" s="6">
        <v>31878.42</v>
      </c>
    </row>
    <row r="251" spans="1:5" x14ac:dyDescent="0.25">
      <c r="A251" t="str">
        <f>"055657"</f>
        <v>055657</v>
      </c>
      <c r="B251" t="s">
        <v>245</v>
      </c>
      <c r="C251">
        <v>238</v>
      </c>
      <c r="D251" s="6">
        <v>101730.53</v>
      </c>
      <c r="E251" s="6">
        <v>33571.07</v>
      </c>
    </row>
    <row r="252" spans="1:5" x14ac:dyDescent="0.25">
      <c r="A252" t="str">
        <f>"055749"</f>
        <v>055749</v>
      </c>
      <c r="B252" t="s">
        <v>246</v>
      </c>
      <c r="C252">
        <v>176</v>
      </c>
      <c r="D252" s="6">
        <v>75229.3</v>
      </c>
      <c r="E252" s="6">
        <v>24825.67</v>
      </c>
    </row>
    <row r="253" spans="1:5" x14ac:dyDescent="0.25">
      <c r="A253" t="str">
        <f>"055814"</f>
        <v>055814</v>
      </c>
      <c r="B253" t="s">
        <v>247</v>
      </c>
      <c r="C253">
        <v>400</v>
      </c>
      <c r="D253" s="6">
        <v>170975.69</v>
      </c>
      <c r="E253" s="6">
        <v>56421.98</v>
      </c>
    </row>
    <row r="254" spans="1:5" x14ac:dyDescent="0.25">
      <c r="A254" t="str">
        <f>"055822"</f>
        <v>055822</v>
      </c>
      <c r="B254" t="s">
        <v>248</v>
      </c>
      <c r="C254">
        <v>275</v>
      </c>
      <c r="D254" s="6">
        <v>117545.79</v>
      </c>
      <c r="E254" s="6">
        <v>38790.11</v>
      </c>
    </row>
    <row r="255" spans="1:5" x14ac:dyDescent="0.25">
      <c r="A255" t="str">
        <f>"055855"</f>
        <v>055855</v>
      </c>
      <c r="B255" t="s">
        <v>249</v>
      </c>
      <c r="C255">
        <v>185</v>
      </c>
      <c r="D255" s="6">
        <v>79076.259999999995</v>
      </c>
      <c r="E255" s="6">
        <v>26095.17</v>
      </c>
    </row>
    <row r="256" spans="1:5" x14ac:dyDescent="0.25">
      <c r="A256" t="str">
        <f>"055913"</f>
        <v>055913</v>
      </c>
      <c r="B256" t="s">
        <v>250</v>
      </c>
      <c r="C256">
        <v>401</v>
      </c>
      <c r="D256" s="6">
        <v>171403.13</v>
      </c>
      <c r="E256" s="6">
        <v>56563.03</v>
      </c>
    </row>
    <row r="257" spans="1:5" x14ac:dyDescent="0.25">
      <c r="A257" t="str">
        <f>"055947"</f>
        <v>055947</v>
      </c>
      <c r="B257" t="s">
        <v>251</v>
      </c>
      <c r="C257">
        <v>160</v>
      </c>
      <c r="D257" s="6">
        <v>68390.28</v>
      </c>
      <c r="E257" s="6">
        <v>22568.79</v>
      </c>
    </row>
    <row r="258" spans="1:5" x14ac:dyDescent="0.25">
      <c r="A258" t="str">
        <f>"056010"</f>
        <v>056010</v>
      </c>
      <c r="B258" t="s">
        <v>252</v>
      </c>
      <c r="C258">
        <v>209</v>
      </c>
      <c r="D258" s="6">
        <v>89334.8</v>
      </c>
      <c r="E258" s="6">
        <v>29480.48</v>
      </c>
    </row>
    <row r="259" spans="1:5" x14ac:dyDescent="0.25">
      <c r="A259" t="str">
        <f>"056036"</f>
        <v>056036</v>
      </c>
      <c r="B259" t="s">
        <v>253</v>
      </c>
      <c r="C259">
        <v>162</v>
      </c>
      <c r="D259" s="6">
        <v>69245.149999999994</v>
      </c>
      <c r="E259" s="6">
        <v>22850.9</v>
      </c>
    </row>
    <row r="260" spans="1:5" x14ac:dyDescent="0.25">
      <c r="A260" t="str">
        <f>"056051"</f>
        <v>056051</v>
      </c>
      <c r="B260" t="s">
        <v>254</v>
      </c>
      <c r="C260">
        <v>271</v>
      </c>
      <c r="D260" s="6">
        <v>115836.03</v>
      </c>
      <c r="E260" s="6">
        <v>38225.89</v>
      </c>
    </row>
    <row r="261" spans="1:5" x14ac:dyDescent="0.25">
      <c r="A261" t="str">
        <f>"056069"</f>
        <v>056069</v>
      </c>
      <c r="B261" t="s">
        <v>255</v>
      </c>
      <c r="C261">
        <v>239</v>
      </c>
      <c r="D261" s="6">
        <v>102157.97</v>
      </c>
      <c r="E261" s="6">
        <v>33712.129999999997</v>
      </c>
    </row>
    <row r="262" spans="1:5" x14ac:dyDescent="0.25">
      <c r="A262" t="str">
        <f>"056127"</f>
        <v>056127</v>
      </c>
      <c r="B262" t="s">
        <v>256</v>
      </c>
      <c r="C262">
        <v>255</v>
      </c>
      <c r="D262" s="6">
        <v>104141.94</v>
      </c>
      <c r="E262" s="6">
        <v>34366.839999999997</v>
      </c>
    </row>
    <row r="263" spans="1:5" x14ac:dyDescent="0.25">
      <c r="A263" t="str">
        <f>"056143"</f>
        <v>056143</v>
      </c>
      <c r="B263" t="s">
        <v>257</v>
      </c>
      <c r="C263">
        <v>393</v>
      </c>
      <c r="D263" s="6">
        <v>167983.61</v>
      </c>
      <c r="E263" s="6">
        <v>55434.59</v>
      </c>
    </row>
    <row r="264" spans="1:5" x14ac:dyDescent="0.25">
      <c r="A264" t="str">
        <f>"056242"</f>
        <v>056242</v>
      </c>
      <c r="B264" t="s">
        <v>258</v>
      </c>
      <c r="C264">
        <v>142</v>
      </c>
      <c r="D264" s="6">
        <v>60095.5</v>
      </c>
      <c r="E264" s="6">
        <v>19831.52</v>
      </c>
    </row>
    <row r="265" spans="1:5" x14ac:dyDescent="0.25">
      <c r="A265" t="str">
        <f>"056267"</f>
        <v>056267</v>
      </c>
      <c r="B265" t="s">
        <v>259</v>
      </c>
      <c r="C265">
        <v>186</v>
      </c>
      <c r="D265" s="6">
        <v>79503.69</v>
      </c>
      <c r="E265" s="6">
        <v>26236.22</v>
      </c>
    </row>
    <row r="266" spans="1:5" x14ac:dyDescent="0.25">
      <c r="A266" t="str">
        <f>"056275"</f>
        <v>056275</v>
      </c>
      <c r="B266" t="s">
        <v>260</v>
      </c>
      <c r="C266">
        <v>470</v>
      </c>
      <c r="D266" s="6">
        <v>200896.43</v>
      </c>
      <c r="E266" s="6">
        <v>66295.820000000007</v>
      </c>
    </row>
    <row r="267" spans="1:5" x14ac:dyDescent="0.25">
      <c r="A267" t="str">
        <f>"056283"</f>
        <v>056283</v>
      </c>
      <c r="B267" t="s">
        <v>155</v>
      </c>
      <c r="C267">
        <v>181</v>
      </c>
      <c r="D267" s="6">
        <v>77366.5</v>
      </c>
      <c r="E267" s="6">
        <v>25530.95</v>
      </c>
    </row>
    <row r="268" spans="1:5" x14ac:dyDescent="0.25">
      <c r="A268" t="str">
        <f>"056358"</f>
        <v>056358</v>
      </c>
      <c r="B268" t="s">
        <v>261</v>
      </c>
      <c r="C268">
        <v>169</v>
      </c>
      <c r="D268" s="6">
        <v>72237.23</v>
      </c>
      <c r="E268" s="6">
        <v>23838.29</v>
      </c>
    </row>
    <row r="269" spans="1:5" x14ac:dyDescent="0.25">
      <c r="A269" t="str">
        <f>"056366"</f>
        <v>056366</v>
      </c>
      <c r="B269" t="s">
        <v>262</v>
      </c>
      <c r="C269">
        <v>698</v>
      </c>
      <c r="D269" s="6">
        <v>298352.58</v>
      </c>
      <c r="E269" s="6">
        <v>98456.35</v>
      </c>
    </row>
    <row r="270" spans="1:5" x14ac:dyDescent="0.25">
      <c r="A270" t="str">
        <f>"056390"</f>
        <v>056390</v>
      </c>
      <c r="B270" t="s">
        <v>263</v>
      </c>
      <c r="C270">
        <v>109</v>
      </c>
      <c r="D270" s="6">
        <v>46590.87</v>
      </c>
      <c r="E270" s="6">
        <v>15374.99</v>
      </c>
    </row>
    <row r="271" spans="1:5" x14ac:dyDescent="0.25">
      <c r="A271" t="str">
        <f>"056408"</f>
        <v>056408</v>
      </c>
      <c r="B271" t="s">
        <v>232</v>
      </c>
      <c r="C271">
        <v>220</v>
      </c>
      <c r="D271" s="6">
        <v>94036.63</v>
      </c>
      <c r="E271" s="6">
        <v>31032.09</v>
      </c>
    </row>
    <row r="272" spans="1:5" x14ac:dyDescent="0.25">
      <c r="A272" t="str">
        <f>"056416"</f>
        <v>056416</v>
      </c>
      <c r="B272" t="s">
        <v>264</v>
      </c>
      <c r="C272">
        <v>142</v>
      </c>
      <c r="D272" s="6">
        <v>60696.37</v>
      </c>
      <c r="E272" s="6">
        <v>20029.8</v>
      </c>
    </row>
    <row r="273" spans="1:5" x14ac:dyDescent="0.25">
      <c r="A273" t="str">
        <f>"056424"</f>
        <v>056424</v>
      </c>
      <c r="B273" t="s">
        <v>241</v>
      </c>
      <c r="C273">
        <v>224</v>
      </c>
      <c r="D273" s="6">
        <v>95746.39</v>
      </c>
      <c r="E273" s="6">
        <v>31596.31</v>
      </c>
    </row>
    <row r="274" spans="1:5" x14ac:dyDescent="0.25">
      <c r="A274" t="str">
        <f>"056432"</f>
        <v>056432</v>
      </c>
      <c r="B274" t="s">
        <v>142</v>
      </c>
      <c r="C274">
        <v>167</v>
      </c>
      <c r="D274" s="6">
        <v>71382.350000000006</v>
      </c>
      <c r="E274" s="6">
        <v>23556.18</v>
      </c>
    </row>
    <row r="275" spans="1:5" x14ac:dyDescent="0.25">
      <c r="A275" t="str">
        <f>"056440"</f>
        <v>056440</v>
      </c>
      <c r="B275" t="s">
        <v>265</v>
      </c>
      <c r="C275">
        <v>210</v>
      </c>
      <c r="D275" s="6">
        <v>89762.240000000005</v>
      </c>
      <c r="E275" s="6">
        <v>29621.54</v>
      </c>
    </row>
    <row r="276" spans="1:5" x14ac:dyDescent="0.25">
      <c r="A276" t="str">
        <f>"056481"</f>
        <v>056481</v>
      </c>
      <c r="B276" t="s">
        <v>266</v>
      </c>
      <c r="C276">
        <v>306</v>
      </c>
      <c r="D276" s="6">
        <v>130796.4</v>
      </c>
      <c r="E276" s="6">
        <v>43162.81</v>
      </c>
    </row>
    <row r="277" spans="1:5" x14ac:dyDescent="0.25">
      <c r="A277" t="str">
        <f>"056531"</f>
        <v>056531</v>
      </c>
      <c r="B277" t="s">
        <v>267</v>
      </c>
      <c r="C277">
        <v>430</v>
      </c>
      <c r="D277" s="6">
        <v>183798.86</v>
      </c>
      <c r="E277" s="6">
        <v>60653.62</v>
      </c>
    </row>
    <row r="278" spans="1:5" x14ac:dyDescent="0.25">
      <c r="A278" t="str">
        <f>"056549"</f>
        <v>056549</v>
      </c>
      <c r="B278" t="s">
        <v>268</v>
      </c>
      <c r="C278">
        <v>391</v>
      </c>
      <c r="D278" s="6">
        <v>167128.73000000001</v>
      </c>
      <c r="E278" s="6">
        <v>55152.480000000003</v>
      </c>
    </row>
    <row r="279" spans="1:5" x14ac:dyDescent="0.25">
      <c r="A279" t="str">
        <f>"056556"</f>
        <v>056556</v>
      </c>
      <c r="B279" t="s">
        <v>269</v>
      </c>
      <c r="C279">
        <v>359</v>
      </c>
      <c r="D279" s="6">
        <v>153450.68</v>
      </c>
      <c r="E279" s="6">
        <v>50638.720000000001</v>
      </c>
    </row>
    <row r="280" spans="1:5" x14ac:dyDescent="0.25">
      <c r="A280" t="str">
        <f>"056580"</f>
        <v>056580</v>
      </c>
      <c r="B280" t="s">
        <v>270</v>
      </c>
      <c r="C280">
        <v>329</v>
      </c>
      <c r="D280" s="6">
        <v>140627.5</v>
      </c>
      <c r="E280" s="6">
        <v>46407.08</v>
      </c>
    </row>
    <row r="281" spans="1:5" x14ac:dyDescent="0.25">
      <c r="A281" t="str">
        <f>"056598"</f>
        <v>056598</v>
      </c>
      <c r="B281" t="s">
        <v>271</v>
      </c>
      <c r="C281">
        <v>357</v>
      </c>
      <c r="D281" s="6">
        <v>152595.79999999999</v>
      </c>
      <c r="E281" s="6">
        <v>50356.61</v>
      </c>
    </row>
    <row r="282" spans="1:5" x14ac:dyDescent="0.25">
      <c r="A282" t="str">
        <f>"056606"</f>
        <v>056606</v>
      </c>
      <c r="B282" t="s">
        <v>235</v>
      </c>
      <c r="C282">
        <v>268</v>
      </c>
      <c r="D282" s="6">
        <v>114553.71</v>
      </c>
      <c r="E282" s="6">
        <v>37802.720000000001</v>
      </c>
    </row>
    <row r="283" spans="1:5" x14ac:dyDescent="0.25">
      <c r="A283" t="str">
        <f>"056648"</f>
        <v>056648</v>
      </c>
      <c r="B283" t="s">
        <v>272</v>
      </c>
      <c r="C283">
        <v>453</v>
      </c>
      <c r="D283" s="6">
        <v>193629.97</v>
      </c>
      <c r="E283" s="6">
        <v>63897.89</v>
      </c>
    </row>
    <row r="284" spans="1:5" x14ac:dyDescent="0.25">
      <c r="A284" t="str">
        <f>"056655"</f>
        <v>056655</v>
      </c>
      <c r="B284" t="s">
        <v>273</v>
      </c>
      <c r="C284">
        <v>151</v>
      </c>
      <c r="D284" s="6">
        <v>64543.32</v>
      </c>
      <c r="E284" s="6">
        <v>21299.3</v>
      </c>
    </row>
    <row r="285" spans="1:5" x14ac:dyDescent="0.25">
      <c r="A285" t="str">
        <f>"056689"</f>
        <v>056689</v>
      </c>
      <c r="B285" t="s">
        <v>274</v>
      </c>
      <c r="C285">
        <v>108</v>
      </c>
      <c r="D285" s="6">
        <v>46163.44</v>
      </c>
      <c r="E285" s="6">
        <v>15233.94</v>
      </c>
    </row>
    <row r="286" spans="1:5" x14ac:dyDescent="0.25">
      <c r="A286" t="str">
        <f>"056697"</f>
        <v>056697</v>
      </c>
      <c r="B286" t="s">
        <v>275</v>
      </c>
      <c r="C286">
        <v>152</v>
      </c>
      <c r="D286" s="6">
        <v>64970.76</v>
      </c>
      <c r="E286" s="6">
        <v>21440.35</v>
      </c>
    </row>
    <row r="287" spans="1:5" x14ac:dyDescent="0.25">
      <c r="A287" t="str">
        <f>"056713"</f>
        <v>056713</v>
      </c>
      <c r="B287" t="s">
        <v>195</v>
      </c>
      <c r="C287">
        <v>814</v>
      </c>
      <c r="D287" s="6">
        <v>347935.52</v>
      </c>
      <c r="E287" s="6">
        <v>114818.72</v>
      </c>
    </row>
    <row r="288" spans="1:5" x14ac:dyDescent="0.25">
      <c r="A288" t="str">
        <f>"056721"</f>
        <v>056721</v>
      </c>
      <c r="B288" t="s">
        <v>276</v>
      </c>
      <c r="C288">
        <v>193</v>
      </c>
      <c r="D288" s="6">
        <v>82495.77</v>
      </c>
      <c r="E288" s="6">
        <v>27223.599999999999</v>
      </c>
    </row>
    <row r="289" spans="1:5" x14ac:dyDescent="0.25">
      <c r="A289" t="str">
        <f>"056739"</f>
        <v>056739</v>
      </c>
      <c r="B289" t="s">
        <v>181</v>
      </c>
      <c r="C289">
        <v>196</v>
      </c>
      <c r="D289" s="6">
        <v>83778.09</v>
      </c>
      <c r="E289" s="6">
        <v>27646.77</v>
      </c>
    </row>
    <row r="290" spans="1:5" x14ac:dyDescent="0.25">
      <c r="A290" t="str">
        <f>"056747"</f>
        <v>056747</v>
      </c>
      <c r="B290" t="s">
        <v>277</v>
      </c>
      <c r="C290">
        <v>230</v>
      </c>
      <c r="D290" s="6">
        <v>98311.02</v>
      </c>
      <c r="E290" s="6">
        <v>32442.639999999999</v>
      </c>
    </row>
    <row r="291" spans="1:5" x14ac:dyDescent="0.25">
      <c r="A291" t="str">
        <f>"056754"</f>
        <v>056754</v>
      </c>
      <c r="B291" t="s">
        <v>278</v>
      </c>
      <c r="C291">
        <v>197</v>
      </c>
      <c r="D291" s="6">
        <v>84205.53</v>
      </c>
      <c r="E291" s="6">
        <v>27787.82</v>
      </c>
    </row>
    <row r="292" spans="1:5" x14ac:dyDescent="0.25">
      <c r="A292" t="str">
        <f>"056762"</f>
        <v>056762</v>
      </c>
      <c r="B292" t="s">
        <v>209</v>
      </c>
      <c r="C292">
        <v>333</v>
      </c>
      <c r="D292" s="6">
        <v>142337.26</v>
      </c>
      <c r="E292" s="6">
        <v>46971.3</v>
      </c>
    </row>
    <row r="293" spans="1:5" x14ac:dyDescent="0.25">
      <c r="A293" t="str">
        <f>"056770"</f>
        <v>056770</v>
      </c>
      <c r="B293" t="s">
        <v>279</v>
      </c>
      <c r="C293">
        <v>361</v>
      </c>
      <c r="D293" s="6">
        <v>154305.56</v>
      </c>
      <c r="E293" s="6">
        <v>50920.83</v>
      </c>
    </row>
    <row r="294" spans="1:5" x14ac:dyDescent="0.25">
      <c r="A294" t="str">
        <f>"056804"</f>
        <v>056804</v>
      </c>
      <c r="B294" t="s">
        <v>210</v>
      </c>
      <c r="C294">
        <v>291</v>
      </c>
      <c r="D294" s="6">
        <v>124384.81</v>
      </c>
      <c r="E294" s="6">
        <v>41046.99</v>
      </c>
    </row>
    <row r="295" spans="1:5" x14ac:dyDescent="0.25">
      <c r="A295" t="str">
        <f>"056812"</f>
        <v>056812</v>
      </c>
      <c r="B295" t="s">
        <v>213</v>
      </c>
      <c r="C295">
        <v>188</v>
      </c>
      <c r="D295" s="6">
        <v>80358.570000000007</v>
      </c>
      <c r="E295" s="6">
        <v>26518.33</v>
      </c>
    </row>
    <row r="296" spans="1:5" x14ac:dyDescent="0.25">
      <c r="A296" t="str">
        <f>"056820"</f>
        <v>056820</v>
      </c>
      <c r="B296" t="s">
        <v>280</v>
      </c>
      <c r="C296">
        <v>285</v>
      </c>
      <c r="D296" s="6">
        <v>121820.18</v>
      </c>
      <c r="E296" s="6">
        <v>40200.660000000003</v>
      </c>
    </row>
    <row r="297" spans="1:5" x14ac:dyDescent="0.25">
      <c r="A297" t="str">
        <f>"056853"</f>
        <v>056853</v>
      </c>
      <c r="B297" t="s">
        <v>281</v>
      </c>
      <c r="C297">
        <v>614</v>
      </c>
      <c r="D297" s="6">
        <v>262447.68</v>
      </c>
      <c r="E297" s="6">
        <v>86607.73</v>
      </c>
    </row>
    <row r="298" spans="1:5" x14ac:dyDescent="0.25">
      <c r="A298" t="str">
        <f>"056861"</f>
        <v>056861</v>
      </c>
      <c r="B298" t="s">
        <v>282</v>
      </c>
      <c r="C298">
        <v>631</v>
      </c>
      <c r="D298" s="6">
        <v>269714.15000000002</v>
      </c>
      <c r="E298" s="6">
        <v>89005.67</v>
      </c>
    </row>
    <row r="299" spans="1:5" x14ac:dyDescent="0.25">
      <c r="A299" t="str">
        <f>"056887"</f>
        <v>056887</v>
      </c>
      <c r="B299" t="s">
        <v>203</v>
      </c>
      <c r="C299">
        <v>368</v>
      </c>
      <c r="D299" s="6">
        <v>157297.63</v>
      </c>
      <c r="E299" s="6">
        <v>51908.22</v>
      </c>
    </row>
    <row r="300" spans="1:5" x14ac:dyDescent="0.25">
      <c r="A300" t="str">
        <f>"056911"</f>
        <v>056911</v>
      </c>
      <c r="B300" t="s">
        <v>283</v>
      </c>
      <c r="C300">
        <v>124</v>
      </c>
      <c r="D300" s="6">
        <v>53002.46</v>
      </c>
      <c r="E300" s="6">
        <v>17490.810000000001</v>
      </c>
    </row>
    <row r="301" spans="1:5" x14ac:dyDescent="0.25">
      <c r="A301" t="str">
        <f>"056937"</f>
        <v>056937</v>
      </c>
      <c r="B301" t="s">
        <v>284</v>
      </c>
      <c r="C301">
        <v>210</v>
      </c>
      <c r="D301" s="6">
        <v>89762.240000000005</v>
      </c>
      <c r="E301" s="6">
        <v>29621.54</v>
      </c>
    </row>
    <row r="302" spans="1:5" x14ac:dyDescent="0.25">
      <c r="A302" t="str">
        <f>"056945"</f>
        <v>056945</v>
      </c>
      <c r="B302" t="s">
        <v>285</v>
      </c>
      <c r="C302">
        <v>364</v>
      </c>
      <c r="D302" s="6">
        <v>155587.88</v>
      </c>
      <c r="E302" s="6">
        <v>51344</v>
      </c>
    </row>
    <row r="303" spans="1:5" x14ac:dyDescent="0.25">
      <c r="A303" t="str">
        <f>"056994"</f>
        <v>056994</v>
      </c>
      <c r="B303" t="s">
        <v>277</v>
      </c>
      <c r="C303">
        <v>162</v>
      </c>
      <c r="D303" s="6">
        <v>69245.149999999994</v>
      </c>
      <c r="E303" s="6">
        <v>22850.9</v>
      </c>
    </row>
    <row r="304" spans="1:5" x14ac:dyDescent="0.25">
      <c r="A304" t="str">
        <f>"057018"</f>
        <v>057018</v>
      </c>
      <c r="B304" t="s">
        <v>140</v>
      </c>
      <c r="C304">
        <v>297</v>
      </c>
      <c r="D304" s="6">
        <v>126949.45</v>
      </c>
      <c r="E304" s="6">
        <v>41893.32</v>
      </c>
    </row>
    <row r="305" spans="1:5" x14ac:dyDescent="0.25">
      <c r="A305" t="str">
        <f>"057034"</f>
        <v>057034</v>
      </c>
      <c r="B305" t="s">
        <v>286</v>
      </c>
      <c r="C305">
        <v>571</v>
      </c>
      <c r="D305" s="6">
        <v>244067.79</v>
      </c>
      <c r="E305" s="6">
        <v>80542.37</v>
      </c>
    </row>
    <row r="306" spans="1:5" x14ac:dyDescent="0.25">
      <c r="A306" t="str">
        <f>"057067"</f>
        <v>057067</v>
      </c>
      <c r="B306" t="s">
        <v>287</v>
      </c>
      <c r="C306">
        <v>179</v>
      </c>
      <c r="D306" s="6">
        <v>76511.62</v>
      </c>
      <c r="E306" s="6">
        <v>25248.83</v>
      </c>
    </row>
    <row r="307" spans="1:5" x14ac:dyDescent="0.25">
      <c r="A307" t="str">
        <f>"057075"</f>
        <v>057075</v>
      </c>
      <c r="B307" t="s">
        <v>288</v>
      </c>
      <c r="C307">
        <v>141</v>
      </c>
      <c r="D307" s="6">
        <v>60268.93</v>
      </c>
      <c r="E307" s="6">
        <v>19888.75</v>
      </c>
    </row>
    <row r="308" spans="1:5" x14ac:dyDescent="0.25">
      <c r="A308" t="str">
        <f>"057109"</f>
        <v>057109</v>
      </c>
      <c r="B308" t="s">
        <v>289</v>
      </c>
      <c r="C308">
        <v>179</v>
      </c>
      <c r="D308" s="6">
        <v>76511.62</v>
      </c>
      <c r="E308" s="6">
        <v>25248.83</v>
      </c>
    </row>
    <row r="309" spans="1:5" x14ac:dyDescent="0.25">
      <c r="A309" t="str">
        <f>"057117"</f>
        <v>057117</v>
      </c>
      <c r="B309" t="s">
        <v>225</v>
      </c>
      <c r="C309">
        <v>149</v>
      </c>
      <c r="D309" s="6">
        <v>63688.44</v>
      </c>
      <c r="E309" s="6">
        <v>21017.19</v>
      </c>
    </row>
    <row r="310" spans="1:5" x14ac:dyDescent="0.25">
      <c r="A310" t="str">
        <f>"057125"</f>
        <v>057125</v>
      </c>
      <c r="B310" t="s">
        <v>139</v>
      </c>
      <c r="C310">
        <v>126</v>
      </c>
      <c r="D310" s="6">
        <v>53857.34</v>
      </c>
      <c r="E310" s="6">
        <v>17772.919999999998</v>
      </c>
    </row>
    <row r="311" spans="1:5" x14ac:dyDescent="0.25">
      <c r="A311" t="str">
        <f>"057133"</f>
        <v>057133</v>
      </c>
      <c r="B311" t="s">
        <v>290</v>
      </c>
      <c r="C311">
        <v>497</v>
      </c>
      <c r="D311" s="6">
        <v>212437.29</v>
      </c>
      <c r="E311" s="6">
        <v>70104.31</v>
      </c>
    </row>
    <row r="312" spans="1:5" x14ac:dyDescent="0.25">
      <c r="A312" t="str">
        <f>"057141"</f>
        <v>057141</v>
      </c>
      <c r="B312" t="s">
        <v>291</v>
      </c>
      <c r="C312">
        <v>191</v>
      </c>
      <c r="D312" s="6">
        <v>81640.89</v>
      </c>
      <c r="E312" s="6">
        <v>26941.49</v>
      </c>
    </row>
    <row r="313" spans="1:5" x14ac:dyDescent="0.25">
      <c r="A313" t="str">
        <f>"057158"</f>
        <v>057158</v>
      </c>
      <c r="B313" t="s">
        <v>225</v>
      </c>
      <c r="C313">
        <v>255</v>
      </c>
      <c r="D313" s="6">
        <v>108997</v>
      </c>
      <c r="E313" s="6">
        <v>35969.01</v>
      </c>
    </row>
    <row r="314" spans="1:5" x14ac:dyDescent="0.25">
      <c r="A314" t="str">
        <f>"057182"</f>
        <v>057182</v>
      </c>
      <c r="B314" t="s">
        <v>292</v>
      </c>
      <c r="C314">
        <v>235</v>
      </c>
      <c r="D314" s="6">
        <v>100448.22</v>
      </c>
      <c r="E314" s="6">
        <v>33147.910000000003</v>
      </c>
    </row>
    <row r="315" spans="1:5" x14ac:dyDescent="0.25">
      <c r="A315" t="str">
        <f>"057208"</f>
        <v>057208</v>
      </c>
      <c r="B315" t="s">
        <v>293</v>
      </c>
      <c r="C315">
        <v>478</v>
      </c>
      <c r="D315" s="6">
        <v>204315.95</v>
      </c>
      <c r="E315" s="6">
        <v>67424.259999999995</v>
      </c>
    </row>
    <row r="316" spans="1:5" x14ac:dyDescent="0.25">
      <c r="A316" t="str">
        <f>"057216"</f>
        <v>057216</v>
      </c>
      <c r="B316" t="s">
        <v>294</v>
      </c>
      <c r="C316">
        <v>488</v>
      </c>
      <c r="D316" s="6">
        <v>208590.34</v>
      </c>
      <c r="E316" s="6">
        <v>68834.81</v>
      </c>
    </row>
    <row r="317" spans="1:5" x14ac:dyDescent="0.25">
      <c r="A317" t="str">
        <f>"057224"</f>
        <v>057224</v>
      </c>
      <c r="B317" t="s">
        <v>232</v>
      </c>
      <c r="C317">
        <v>168</v>
      </c>
      <c r="D317" s="6">
        <v>71809.789999999994</v>
      </c>
      <c r="E317" s="6">
        <v>23697.23</v>
      </c>
    </row>
    <row r="318" spans="1:5" x14ac:dyDescent="0.25">
      <c r="A318" t="str">
        <f>"057232"</f>
        <v>057232</v>
      </c>
      <c r="B318" t="s">
        <v>184</v>
      </c>
      <c r="C318">
        <v>269</v>
      </c>
      <c r="D318" s="6">
        <v>114981.15</v>
      </c>
      <c r="E318" s="6">
        <v>37943.78</v>
      </c>
    </row>
    <row r="319" spans="1:5" x14ac:dyDescent="0.25">
      <c r="A319" t="str">
        <f>"057240"</f>
        <v>057240</v>
      </c>
      <c r="B319" t="s">
        <v>225</v>
      </c>
      <c r="C319">
        <v>178</v>
      </c>
      <c r="D319" s="6">
        <v>76084.179999999993</v>
      </c>
      <c r="E319" s="6">
        <v>25107.78</v>
      </c>
    </row>
    <row r="320" spans="1:5" x14ac:dyDescent="0.25">
      <c r="A320" t="str">
        <f>"057257"</f>
        <v>057257</v>
      </c>
      <c r="B320" t="s">
        <v>295</v>
      </c>
      <c r="C320">
        <v>40</v>
      </c>
      <c r="D320" s="6">
        <v>17097.57</v>
      </c>
      <c r="E320" s="6">
        <v>5642.2</v>
      </c>
    </row>
    <row r="321" spans="1:5" x14ac:dyDescent="0.25">
      <c r="A321" t="str">
        <f>"057299"</f>
        <v>057299</v>
      </c>
      <c r="B321" t="s">
        <v>227</v>
      </c>
      <c r="C321">
        <v>435</v>
      </c>
      <c r="D321" s="6">
        <v>185936.06</v>
      </c>
      <c r="E321" s="6">
        <v>61358.9</v>
      </c>
    </row>
    <row r="322" spans="1:5" x14ac:dyDescent="0.25">
      <c r="A322" t="str">
        <f>"057307"</f>
        <v>057307</v>
      </c>
      <c r="B322" t="s">
        <v>232</v>
      </c>
      <c r="C322">
        <v>102</v>
      </c>
      <c r="D322" s="6">
        <v>43598.8</v>
      </c>
      <c r="E322" s="6">
        <v>14387.6</v>
      </c>
    </row>
    <row r="323" spans="1:5" x14ac:dyDescent="0.25">
      <c r="A323" t="str">
        <f>"057356"</f>
        <v>057356</v>
      </c>
      <c r="B323" t="s">
        <v>277</v>
      </c>
      <c r="C323">
        <v>220</v>
      </c>
      <c r="D323" s="6">
        <v>94036.63</v>
      </c>
      <c r="E323" s="6">
        <v>31032.09</v>
      </c>
    </row>
    <row r="324" spans="1:5" x14ac:dyDescent="0.25">
      <c r="A324" t="str">
        <f>"057406"</f>
        <v>057406</v>
      </c>
      <c r="B324" t="s">
        <v>237</v>
      </c>
      <c r="C324">
        <v>297</v>
      </c>
      <c r="D324" s="6">
        <v>126949.45</v>
      </c>
      <c r="E324" s="6">
        <v>41893.32</v>
      </c>
    </row>
    <row r="325" spans="1:5" x14ac:dyDescent="0.25">
      <c r="A325" t="str">
        <f>"057422"</f>
        <v>057422</v>
      </c>
      <c r="B325" t="s">
        <v>216</v>
      </c>
      <c r="C325">
        <v>545</v>
      </c>
      <c r="D325" s="6">
        <v>232954.37</v>
      </c>
      <c r="E325" s="6">
        <v>76874.94</v>
      </c>
    </row>
    <row r="326" spans="1:5" x14ac:dyDescent="0.25">
      <c r="A326" t="str">
        <f>"057430"</f>
        <v>057430</v>
      </c>
      <c r="B326" t="s">
        <v>296</v>
      </c>
      <c r="C326">
        <v>329</v>
      </c>
      <c r="D326" s="6">
        <v>140627.5</v>
      </c>
      <c r="E326" s="6">
        <v>46407.08</v>
      </c>
    </row>
    <row r="327" spans="1:5" x14ac:dyDescent="0.25">
      <c r="A327" t="str">
        <f>"057448"</f>
        <v>057448</v>
      </c>
      <c r="B327" t="s">
        <v>219</v>
      </c>
      <c r="C327">
        <v>181</v>
      </c>
      <c r="D327" s="6">
        <v>77366.5</v>
      </c>
      <c r="E327" s="6">
        <v>25530.95</v>
      </c>
    </row>
    <row r="328" spans="1:5" x14ac:dyDescent="0.25">
      <c r="A328" t="str">
        <f>"057455"</f>
        <v>057455</v>
      </c>
      <c r="B328" t="s">
        <v>297</v>
      </c>
      <c r="C328">
        <v>393</v>
      </c>
      <c r="D328" s="6">
        <v>167983.61</v>
      </c>
      <c r="E328" s="6">
        <v>55434.59</v>
      </c>
    </row>
    <row r="329" spans="1:5" x14ac:dyDescent="0.25">
      <c r="A329" t="str">
        <f>"057463"</f>
        <v>057463</v>
      </c>
      <c r="B329" t="s">
        <v>237</v>
      </c>
      <c r="C329">
        <v>188</v>
      </c>
      <c r="D329" s="6">
        <v>80358.570000000007</v>
      </c>
      <c r="E329" s="6">
        <v>26518.33</v>
      </c>
    </row>
    <row r="330" spans="1:5" x14ac:dyDescent="0.25">
      <c r="A330" t="str">
        <f>"057513"</f>
        <v>057513</v>
      </c>
      <c r="B330" t="s">
        <v>181</v>
      </c>
      <c r="C330">
        <v>341</v>
      </c>
      <c r="D330" s="6">
        <v>145756.76999999999</v>
      </c>
      <c r="E330" s="6">
        <v>48099.73</v>
      </c>
    </row>
    <row r="331" spans="1:5" x14ac:dyDescent="0.25">
      <c r="A331" t="str">
        <f>"057521"</f>
        <v>057521</v>
      </c>
      <c r="B331" t="s">
        <v>298</v>
      </c>
      <c r="C331">
        <v>263</v>
      </c>
      <c r="D331" s="6">
        <v>112416.51</v>
      </c>
      <c r="E331" s="6">
        <v>37097.449999999997</v>
      </c>
    </row>
    <row r="332" spans="1:5" x14ac:dyDescent="0.25">
      <c r="A332" t="str">
        <f>"057539"</f>
        <v>057539</v>
      </c>
      <c r="B332" t="s">
        <v>299</v>
      </c>
      <c r="C332">
        <v>367</v>
      </c>
      <c r="D332" s="6">
        <v>156870.19</v>
      </c>
      <c r="E332" s="6">
        <v>51767.16</v>
      </c>
    </row>
    <row r="333" spans="1:5" x14ac:dyDescent="0.25">
      <c r="A333" t="str">
        <f>"057562"</f>
        <v>057562</v>
      </c>
      <c r="B333" t="s">
        <v>291</v>
      </c>
      <c r="C333">
        <v>95</v>
      </c>
      <c r="D333" s="6">
        <v>40606.730000000003</v>
      </c>
      <c r="E333" s="6">
        <v>13400.22</v>
      </c>
    </row>
    <row r="334" spans="1:5" x14ac:dyDescent="0.25">
      <c r="A334" t="str">
        <f>"057570"</f>
        <v>057570</v>
      </c>
      <c r="B334" t="s">
        <v>300</v>
      </c>
      <c r="C334">
        <v>150</v>
      </c>
      <c r="D334" s="6">
        <v>64115.88</v>
      </c>
      <c r="E334" s="6">
        <v>21158.240000000002</v>
      </c>
    </row>
    <row r="335" spans="1:5" x14ac:dyDescent="0.25">
      <c r="A335" t="str">
        <f>"057588"</f>
        <v>057588</v>
      </c>
      <c r="B335" t="s">
        <v>301</v>
      </c>
      <c r="C335">
        <v>325</v>
      </c>
      <c r="D335" s="6">
        <v>138917.75</v>
      </c>
      <c r="E335" s="6">
        <v>45842.86</v>
      </c>
    </row>
    <row r="336" spans="1:5" x14ac:dyDescent="0.25">
      <c r="A336" t="str">
        <f>"057646"</f>
        <v>057646</v>
      </c>
      <c r="B336" t="s">
        <v>302</v>
      </c>
      <c r="C336">
        <v>264</v>
      </c>
      <c r="D336" s="6">
        <v>112843.95</v>
      </c>
      <c r="E336" s="6">
        <v>37238.5</v>
      </c>
    </row>
    <row r="337" spans="1:5" x14ac:dyDescent="0.25">
      <c r="A337" t="str">
        <f>"057653"</f>
        <v>057653</v>
      </c>
      <c r="B337" t="s">
        <v>290</v>
      </c>
      <c r="C337">
        <v>117</v>
      </c>
      <c r="D337" s="6">
        <v>50010.39</v>
      </c>
      <c r="E337" s="6">
        <v>16503.43</v>
      </c>
    </row>
    <row r="338" spans="1:5" x14ac:dyDescent="0.25">
      <c r="A338" t="str">
        <f>"057661"</f>
        <v>057661</v>
      </c>
      <c r="B338" t="s">
        <v>183</v>
      </c>
      <c r="C338">
        <v>370</v>
      </c>
      <c r="D338" s="6">
        <v>158152.51</v>
      </c>
      <c r="E338" s="6">
        <v>52190.33</v>
      </c>
    </row>
    <row r="339" spans="1:5" x14ac:dyDescent="0.25">
      <c r="A339" t="str">
        <f>"057679"</f>
        <v>057679</v>
      </c>
      <c r="B339" t="s">
        <v>183</v>
      </c>
      <c r="C339">
        <v>69</v>
      </c>
      <c r="D339" s="6">
        <v>29493.31</v>
      </c>
      <c r="E339" s="6">
        <v>9732.7900000000009</v>
      </c>
    </row>
    <row r="340" spans="1:5" x14ac:dyDescent="0.25">
      <c r="A340" t="str">
        <f>"057687"</f>
        <v>057687</v>
      </c>
      <c r="B340" t="s">
        <v>303</v>
      </c>
      <c r="C340">
        <v>213</v>
      </c>
      <c r="D340" s="6">
        <v>91044.55</v>
      </c>
      <c r="E340" s="6">
        <v>30044.7</v>
      </c>
    </row>
    <row r="341" spans="1:5" x14ac:dyDescent="0.25">
      <c r="A341" t="str">
        <f>"057695"</f>
        <v>057695</v>
      </c>
      <c r="B341" t="s">
        <v>304</v>
      </c>
      <c r="C341">
        <v>314</v>
      </c>
      <c r="D341" s="6">
        <v>134215.91</v>
      </c>
      <c r="E341" s="6">
        <v>44291.25</v>
      </c>
    </row>
    <row r="342" spans="1:5" x14ac:dyDescent="0.25">
      <c r="A342" t="str">
        <f>"057729"</f>
        <v>057729</v>
      </c>
      <c r="B342" t="s">
        <v>194</v>
      </c>
      <c r="C342">
        <v>51</v>
      </c>
      <c r="D342" s="6">
        <v>21799.4</v>
      </c>
      <c r="E342" s="6">
        <v>7193.8</v>
      </c>
    </row>
    <row r="343" spans="1:5" x14ac:dyDescent="0.25">
      <c r="A343" t="str">
        <f>"057745"</f>
        <v>057745</v>
      </c>
      <c r="B343" t="s">
        <v>305</v>
      </c>
      <c r="C343">
        <v>198</v>
      </c>
      <c r="D343" s="6">
        <v>84632.97</v>
      </c>
      <c r="E343" s="6">
        <v>27928.880000000001</v>
      </c>
    </row>
    <row r="344" spans="1:5" x14ac:dyDescent="0.25">
      <c r="A344" t="str">
        <f>"057778"</f>
        <v>057778</v>
      </c>
      <c r="B344" t="s">
        <v>306</v>
      </c>
      <c r="C344">
        <v>433</v>
      </c>
      <c r="D344" s="6">
        <v>185081.18</v>
      </c>
      <c r="E344" s="6">
        <v>61076.79</v>
      </c>
    </row>
    <row r="345" spans="1:5" x14ac:dyDescent="0.25">
      <c r="A345" t="str">
        <f>"057786"</f>
        <v>057786</v>
      </c>
      <c r="B345" t="s">
        <v>200</v>
      </c>
      <c r="C345">
        <v>167</v>
      </c>
      <c r="D345" s="6">
        <v>71382.350000000006</v>
      </c>
      <c r="E345" s="6">
        <v>23556.18</v>
      </c>
    </row>
    <row r="346" spans="1:5" x14ac:dyDescent="0.25">
      <c r="A346" t="str">
        <f>"057810"</f>
        <v>057810</v>
      </c>
      <c r="B346" t="s">
        <v>203</v>
      </c>
      <c r="C346">
        <v>74</v>
      </c>
      <c r="D346" s="6">
        <v>31630.5</v>
      </c>
      <c r="E346" s="6">
        <v>10438.07</v>
      </c>
    </row>
    <row r="347" spans="1:5" x14ac:dyDescent="0.25">
      <c r="A347" t="str">
        <f>"057836"</f>
        <v>057836</v>
      </c>
      <c r="B347" t="s">
        <v>275</v>
      </c>
      <c r="C347">
        <v>464</v>
      </c>
      <c r="D347" s="6">
        <v>198331.8</v>
      </c>
      <c r="E347" s="6">
        <v>65449.49</v>
      </c>
    </row>
    <row r="348" spans="1:5" x14ac:dyDescent="0.25">
      <c r="A348" t="str">
        <f>"057844"</f>
        <v>057844</v>
      </c>
      <c r="B348" t="s">
        <v>307</v>
      </c>
      <c r="C348">
        <v>247</v>
      </c>
      <c r="D348" s="6">
        <v>105577.49</v>
      </c>
      <c r="E348" s="6">
        <v>34840.57</v>
      </c>
    </row>
    <row r="349" spans="1:5" x14ac:dyDescent="0.25">
      <c r="A349" t="str">
        <f>"057851"</f>
        <v>057851</v>
      </c>
      <c r="B349" t="s">
        <v>208</v>
      </c>
      <c r="C349">
        <v>215</v>
      </c>
      <c r="D349" s="6">
        <v>91899.43</v>
      </c>
      <c r="E349" s="6">
        <v>30326.81</v>
      </c>
    </row>
    <row r="350" spans="1:5" x14ac:dyDescent="0.25">
      <c r="A350" t="str">
        <f>"057869"</f>
        <v>057869</v>
      </c>
      <c r="B350" t="s">
        <v>124</v>
      </c>
      <c r="C350">
        <v>162</v>
      </c>
      <c r="D350" s="6">
        <v>69245.149999999994</v>
      </c>
      <c r="E350" s="6">
        <v>22850.9</v>
      </c>
    </row>
    <row r="351" spans="1:5" x14ac:dyDescent="0.25">
      <c r="A351" t="str">
        <f>"057885"</f>
        <v>057885</v>
      </c>
      <c r="B351" t="s">
        <v>140</v>
      </c>
      <c r="C351">
        <v>261</v>
      </c>
      <c r="D351" s="6">
        <v>111561.64</v>
      </c>
      <c r="E351" s="6">
        <v>36815.339999999997</v>
      </c>
    </row>
    <row r="352" spans="1:5" x14ac:dyDescent="0.25">
      <c r="A352" t="str">
        <f>"057901"</f>
        <v>057901</v>
      </c>
      <c r="B352" t="s">
        <v>308</v>
      </c>
      <c r="C352">
        <v>484</v>
      </c>
      <c r="D352" s="6">
        <v>206880.58</v>
      </c>
      <c r="E352" s="6">
        <v>68270.59</v>
      </c>
    </row>
    <row r="353" spans="1:5" x14ac:dyDescent="0.25">
      <c r="A353" t="str">
        <f>"057919"</f>
        <v>057919</v>
      </c>
      <c r="B353" t="s">
        <v>309</v>
      </c>
      <c r="C353">
        <v>59</v>
      </c>
      <c r="D353" s="6">
        <v>25218.91</v>
      </c>
      <c r="E353" s="6">
        <v>8322.24</v>
      </c>
    </row>
    <row r="354" spans="1:5" x14ac:dyDescent="0.25">
      <c r="A354" t="str">
        <f>"057943"</f>
        <v>057943</v>
      </c>
      <c r="B354" t="s">
        <v>310</v>
      </c>
      <c r="C354">
        <v>140</v>
      </c>
      <c r="D354" s="6">
        <v>59841.49</v>
      </c>
      <c r="E354" s="6">
        <v>19747.689999999999</v>
      </c>
    </row>
    <row r="355" spans="1:5" x14ac:dyDescent="0.25">
      <c r="A355" t="str">
        <f>"057950"</f>
        <v>057950</v>
      </c>
      <c r="B355" t="s">
        <v>311</v>
      </c>
      <c r="C355">
        <v>159</v>
      </c>
      <c r="D355" s="6">
        <v>67962.84</v>
      </c>
      <c r="E355" s="6">
        <v>22427.74</v>
      </c>
    </row>
    <row r="356" spans="1:5" x14ac:dyDescent="0.25">
      <c r="A356" t="str">
        <f>"057992"</f>
        <v>057992</v>
      </c>
      <c r="B356" t="s">
        <v>312</v>
      </c>
      <c r="C356">
        <v>178</v>
      </c>
      <c r="D356" s="6">
        <v>76084.179999999993</v>
      </c>
      <c r="E356" s="6">
        <v>25107.78</v>
      </c>
    </row>
    <row r="357" spans="1:5" x14ac:dyDescent="0.25">
      <c r="A357" t="str">
        <f>"058008"</f>
        <v>058008</v>
      </c>
      <c r="B357" t="s">
        <v>232</v>
      </c>
      <c r="C357">
        <v>284</v>
      </c>
      <c r="D357" s="6">
        <v>121392.74</v>
      </c>
      <c r="E357" s="6">
        <v>40059.599999999999</v>
      </c>
    </row>
    <row r="358" spans="1:5" x14ac:dyDescent="0.25">
      <c r="A358" t="str">
        <f>"058016"</f>
        <v>058016</v>
      </c>
      <c r="B358" t="s">
        <v>232</v>
      </c>
      <c r="C358">
        <v>340</v>
      </c>
      <c r="D358" s="6">
        <v>145329.32999999999</v>
      </c>
      <c r="E358" s="6">
        <v>47958.68</v>
      </c>
    </row>
    <row r="359" spans="1:5" x14ac:dyDescent="0.25">
      <c r="A359" t="str">
        <f>"058024"</f>
        <v>058024</v>
      </c>
      <c r="B359" t="s">
        <v>232</v>
      </c>
      <c r="C359">
        <v>219</v>
      </c>
      <c r="D359" s="6">
        <v>93609.19</v>
      </c>
      <c r="E359" s="6">
        <v>30891.03</v>
      </c>
    </row>
    <row r="360" spans="1:5" x14ac:dyDescent="0.25">
      <c r="A360" t="str">
        <f>"058032"</f>
        <v>058032</v>
      </c>
      <c r="B360" t="s">
        <v>232</v>
      </c>
      <c r="C360">
        <v>106</v>
      </c>
      <c r="D360" s="6">
        <v>45308.56</v>
      </c>
      <c r="E360" s="6">
        <v>14951.82</v>
      </c>
    </row>
    <row r="361" spans="1:5" x14ac:dyDescent="0.25">
      <c r="A361" t="str">
        <f>"058040"</f>
        <v>058040</v>
      </c>
      <c r="B361" t="s">
        <v>313</v>
      </c>
      <c r="C361">
        <v>155</v>
      </c>
      <c r="D361" s="6">
        <v>48196.78</v>
      </c>
      <c r="E361" s="6">
        <v>15904.94</v>
      </c>
    </row>
    <row r="362" spans="1:5" x14ac:dyDescent="0.25">
      <c r="A362" t="str">
        <f>"058057"</f>
        <v>058057</v>
      </c>
      <c r="B362" t="s">
        <v>314</v>
      </c>
      <c r="C362">
        <v>243</v>
      </c>
      <c r="D362" s="6">
        <v>103867.73</v>
      </c>
      <c r="E362" s="6">
        <v>34276.35</v>
      </c>
    </row>
    <row r="363" spans="1:5" x14ac:dyDescent="0.25">
      <c r="A363" t="str">
        <f>"058065"</f>
        <v>058065</v>
      </c>
      <c r="B363" t="s">
        <v>315</v>
      </c>
      <c r="C363">
        <v>571</v>
      </c>
      <c r="D363" s="6">
        <v>244067.79</v>
      </c>
      <c r="E363" s="6">
        <v>80542.37</v>
      </c>
    </row>
    <row r="364" spans="1:5" x14ac:dyDescent="0.25">
      <c r="A364" t="str">
        <f>"058073"</f>
        <v>058073</v>
      </c>
      <c r="B364" t="s">
        <v>316</v>
      </c>
      <c r="C364">
        <v>274</v>
      </c>
      <c r="D364" s="6">
        <v>117118.35</v>
      </c>
      <c r="E364" s="6">
        <v>38649.06</v>
      </c>
    </row>
    <row r="365" spans="1:5" x14ac:dyDescent="0.25">
      <c r="A365" t="str">
        <f>"058081"</f>
        <v>058081</v>
      </c>
      <c r="B365" t="s">
        <v>235</v>
      </c>
      <c r="C365">
        <v>374</v>
      </c>
      <c r="D365" s="6">
        <v>159862.26999999999</v>
      </c>
      <c r="E365" s="6">
        <v>52754.55</v>
      </c>
    </row>
    <row r="366" spans="1:5" x14ac:dyDescent="0.25">
      <c r="A366" t="str">
        <f>"058099"</f>
        <v>058099</v>
      </c>
      <c r="B366" t="s">
        <v>317</v>
      </c>
      <c r="C366">
        <v>235</v>
      </c>
      <c r="D366" s="6">
        <v>100448.22</v>
      </c>
      <c r="E366" s="6">
        <v>33147.910000000003</v>
      </c>
    </row>
    <row r="367" spans="1:5" x14ac:dyDescent="0.25">
      <c r="A367" t="str">
        <f>"058107"</f>
        <v>058107</v>
      </c>
      <c r="B367" t="s">
        <v>236</v>
      </c>
      <c r="C367">
        <v>135</v>
      </c>
      <c r="D367" s="6">
        <v>57704.29</v>
      </c>
      <c r="E367" s="6">
        <v>19042.419999999998</v>
      </c>
    </row>
    <row r="368" spans="1:5" x14ac:dyDescent="0.25">
      <c r="A368" t="str">
        <f>"058115"</f>
        <v>058115</v>
      </c>
      <c r="B368" t="s">
        <v>318</v>
      </c>
      <c r="C368">
        <v>771</v>
      </c>
      <c r="D368" s="6">
        <v>329555.64</v>
      </c>
      <c r="E368" s="6">
        <v>108753.36</v>
      </c>
    </row>
    <row r="369" spans="1:5" x14ac:dyDescent="0.25">
      <c r="A369" t="str">
        <f>"058131"</f>
        <v>058131</v>
      </c>
      <c r="B369" t="s">
        <v>295</v>
      </c>
      <c r="C369">
        <v>102</v>
      </c>
      <c r="D369" s="6">
        <v>43598.8</v>
      </c>
      <c r="E369" s="6">
        <v>14387.6</v>
      </c>
    </row>
    <row r="370" spans="1:5" x14ac:dyDescent="0.25">
      <c r="A370" t="str">
        <f>"058156"</f>
        <v>058156</v>
      </c>
      <c r="B370" t="s">
        <v>319</v>
      </c>
      <c r="C370">
        <v>513</v>
      </c>
      <c r="D370" s="6">
        <v>219276.32</v>
      </c>
      <c r="E370" s="6">
        <v>72361.19</v>
      </c>
    </row>
    <row r="371" spans="1:5" x14ac:dyDescent="0.25">
      <c r="A371" t="str">
        <f>"058164"</f>
        <v>058164</v>
      </c>
      <c r="B371" t="s">
        <v>320</v>
      </c>
      <c r="C371">
        <v>79</v>
      </c>
      <c r="D371" s="6">
        <v>33767.699999999997</v>
      </c>
      <c r="E371" s="6">
        <v>11143.34</v>
      </c>
    </row>
    <row r="372" spans="1:5" x14ac:dyDescent="0.25">
      <c r="A372" t="str">
        <f>"058206"</f>
        <v>058206</v>
      </c>
      <c r="B372" t="s">
        <v>321</v>
      </c>
      <c r="C372">
        <v>245</v>
      </c>
      <c r="D372" s="6">
        <v>104722.61</v>
      </c>
      <c r="E372" s="6">
        <v>34558.46</v>
      </c>
    </row>
    <row r="373" spans="1:5" x14ac:dyDescent="0.25">
      <c r="A373" t="str">
        <f>"058214"</f>
        <v>058214</v>
      </c>
      <c r="B373" t="s">
        <v>289</v>
      </c>
      <c r="C373">
        <v>159</v>
      </c>
      <c r="D373" s="6">
        <v>67962.84</v>
      </c>
      <c r="E373" s="6">
        <v>22427.74</v>
      </c>
    </row>
    <row r="374" spans="1:5" x14ac:dyDescent="0.25">
      <c r="A374" t="str">
        <f>"058255"</f>
        <v>058255</v>
      </c>
      <c r="B374" t="s">
        <v>322</v>
      </c>
      <c r="C374">
        <v>88</v>
      </c>
      <c r="D374" s="6">
        <v>37614.65</v>
      </c>
      <c r="E374" s="6">
        <v>12412.83</v>
      </c>
    </row>
    <row r="375" spans="1:5" x14ac:dyDescent="0.25">
      <c r="A375" t="str">
        <f>"058305"</f>
        <v>058305</v>
      </c>
      <c r="B375" t="s">
        <v>323</v>
      </c>
      <c r="C375">
        <v>306</v>
      </c>
      <c r="D375" s="6">
        <v>130796.4</v>
      </c>
      <c r="E375" s="6">
        <v>43162.81</v>
      </c>
    </row>
    <row r="376" spans="1:5" x14ac:dyDescent="0.25">
      <c r="A376" t="str">
        <f>"058321"</f>
        <v>058321</v>
      </c>
      <c r="B376" t="s">
        <v>309</v>
      </c>
      <c r="C376">
        <v>63</v>
      </c>
      <c r="D376" s="6">
        <v>26928.67</v>
      </c>
      <c r="E376" s="6">
        <v>8886.4599999999991</v>
      </c>
    </row>
    <row r="377" spans="1:5" x14ac:dyDescent="0.25">
      <c r="A377" t="str">
        <f>"058339"</f>
        <v>058339</v>
      </c>
      <c r="B377" t="s">
        <v>309</v>
      </c>
      <c r="C377">
        <v>86</v>
      </c>
      <c r="D377" s="6">
        <v>36759.769999999997</v>
      </c>
      <c r="E377" s="6">
        <v>12130.72</v>
      </c>
    </row>
    <row r="378" spans="1:5" x14ac:dyDescent="0.25">
      <c r="A378" t="str">
        <f>"058370"</f>
        <v>058370</v>
      </c>
      <c r="B378" t="s">
        <v>228</v>
      </c>
      <c r="C378">
        <v>97</v>
      </c>
      <c r="D378" s="6">
        <v>41461.599999999999</v>
      </c>
      <c r="E378" s="6">
        <v>13682.33</v>
      </c>
    </row>
    <row r="379" spans="1:5" x14ac:dyDescent="0.25">
      <c r="A379" t="str">
        <f>"058388"</f>
        <v>058388</v>
      </c>
      <c r="B379" t="s">
        <v>232</v>
      </c>
      <c r="C379">
        <v>127</v>
      </c>
      <c r="D379" s="6">
        <v>54284.78</v>
      </c>
      <c r="E379" s="6">
        <v>17913.98</v>
      </c>
    </row>
    <row r="380" spans="1:5" x14ac:dyDescent="0.25">
      <c r="A380" t="str">
        <f>"058396"</f>
        <v>058396</v>
      </c>
      <c r="B380" t="s">
        <v>324</v>
      </c>
      <c r="C380">
        <v>87</v>
      </c>
      <c r="D380" s="6">
        <v>37187.21</v>
      </c>
      <c r="E380" s="6">
        <v>12271.78</v>
      </c>
    </row>
    <row r="381" spans="1:5" x14ac:dyDescent="0.25">
      <c r="A381" t="str">
        <f>"058404"</f>
        <v>058404</v>
      </c>
      <c r="B381" t="s">
        <v>232</v>
      </c>
      <c r="C381">
        <v>131</v>
      </c>
      <c r="D381" s="6">
        <v>55994.54</v>
      </c>
      <c r="E381" s="6">
        <v>18478.2</v>
      </c>
    </row>
    <row r="382" spans="1:5" x14ac:dyDescent="0.25">
      <c r="A382" t="str">
        <f>"058479"</f>
        <v>058479</v>
      </c>
      <c r="B382" t="s">
        <v>325</v>
      </c>
      <c r="C382">
        <v>83</v>
      </c>
      <c r="D382" s="6">
        <v>35477.46</v>
      </c>
      <c r="E382" s="6">
        <v>11707.56</v>
      </c>
    </row>
    <row r="383" spans="1:5" x14ac:dyDescent="0.25">
      <c r="A383" t="str">
        <f>"058487"</f>
        <v>058487</v>
      </c>
      <c r="B383" t="s">
        <v>300</v>
      </c>
      <c r="C383">
        <v>209</v>
      </c>
      <c r="D383" s="6">
        <v>89334.8</v>
      </c>
      <c r="E383" s="6">
        <v>29480.48</v>
      </c>
    </row>
    <row r="384" spans="1:5" x14ac:dyDescent="0.25">
      <c r="A384" t="str">
        <f>"058495"</f>
        <v>058495</v>
      </c>
      <c r="B384" t="s">
        <v>326</v>
      </c>
      <c r="C384">
        <v>361</v>
      </c>
      <c r="D384" s="6">
        <v>154305.56</v>
      </c>
      <c r="E384" s="6">
        <v>50920.83</v>
      </c>
    </row>
    <row r="385" spans="1:5" x14ac:dyDescent="0.25">
      <c r="A385" t="str">
        <f>"058503"</f>
        <v>058503</v>
      </c>
      <c r="B385" t="s">
        <v>327</v>
      </c>
      <c r="C385">
        <v>359</v>
      </c>
      <c r="D385" s="6">
        <v>153450.68</v>
      </c>
      <c r="E385" s="6">
        <v>50638.720000000001</v>
      </c>
    </row>
    <row r="386" spans="1:5" x14ac:dyDescent="0.25">
      <c r="A386" t="str">
        <f>"058552"</f>
        <v>058552</v>
      </c>
      <c r="B386" t="s">
        <v>183</v>
      </c>
      <c r="C386">
        <v>128</v>
      </c>
      <c r="D386" s="6">
        <v>54712.22</v>
      </c>
      <c r="E386" s="6">
        <v>18055.03</v>
      </c>
    </row>
    <row r="387" spans="1:5" x14ac:dyDescent="0.25">
      <c r="A387" t="str">
        <f>"058560"</f>
        <v>058560</v>
      </c>
      <c r="B387" t="s">
        <v>183</v>
      </c>
      <c r="C387">
        <v>76</v>
      </c>
      <c r="D387" s="6">
        <v>32485.38</v>
      </c>
      <c r="E387" s="6">
        <v>10720.18</v>
      </c>
    </row>
    <row r="388" spans="1:5" x14ac:dyDescent="0.25">
      <c r="A388" t="str">
        <f>"058602"</f>
        <v>058602</v>
      </c>
      <c r="B388" t="s">
        <v>269</v>
      </c>
      <c r="C388">
        <v>195</v>
      </c>
      <c r="D388" s="6">
        <v>83350.649999999994</v>
      </c>
      <c r="E388" s="6">
        <v>27505.71</v>
      </c>
    </row>
    <row r="389" spans="1:5" x14ac:dyDescent="0.25">
      <c r="A389" t="str">
        <f>"058628"</f>
        <v>058628</v>
      </c>
      <c r="B389" t="s">
        <v>232</v>
      </c>
      <c r="C389">
        <v>83</v>
      </c>
      <c r="D389" s="6">
        <v>35477.46</v>
      </c>
      <c r="E389" s="6">
        <v>11707.56</v>
      </c>
    </row>
    <row r="390" spans="1:5" x14ac:dyDescent="0.25">
      <c r="A390" t="str">
        <f>"058651"</f>
        <v>058651</v>
      </c>
      <c r="B390" t="s">
        <v>328</v>
      </c>
      <c r="C390">
        <v>166</v>
      </c>
      <c r="D390" s="6">
        <v>70954.91</v>
      </c>
      <c r="E390" s="6">
        <v>23415.119999999999</v>
      </c>
    </row>
    <row r="391" spans="1:5" x14ac:dyDescent="0.25">
      <c r="A391" t="str">
        <f>"058677"</f>
        <v>058677</v>
      </c>
      <c r="B391" t="s">
        <v>304</v>
      </c>
      <c r="C391">
        <v>227</v>
      </c>
      <c r="D391" s="6">
        <v>94035.61</v>
      </c>
      <c r="E391" s="6">
        <v>31031.75</v>
      </c>
    </row>
    <row r="392" spans="1:5" x14ac:dyDescent="0.25">
      <c r="A392" t="str">
        <f>"058685"</f>
        <v>058685</v>
      </c>
      <c r="B392" t="s">
        <v>329</v>
      </c>
      <c r="C392">
        <v>177</v>
      </c>
      <c r="D392" s="6">
        <v>75656.740000000005</v>
      </c>
      <c r="E392" s="6">
        <v>24966.720000000001</v>
      </c>
    </row>
    <row r="393" spans="1:5" x14ac:dyDescent="0.25">
      <c r="A393" t="str">
        <f>"058693"</f>
        <v>058693</v>
      </c>
      <c r="B393" t="s">
        <v>330</v>
      </c>
      <c r="C393">
        <v>310</v>
      </c>
      <c r="D393" s="6">
        <v>132506.16</v>
      </c>
      <c r="E393" s="6">
        <v>43727.03</v>
      </c>
    </row>
    <row r="394" spans="1:5" x14ac:dyDescent="0.25">
      <c r="A394" t="str">
        <f>"058727"</f>
        <v>058727</v>
      </c>
      <c r="B394" t="s">
        <v>194</v>
      </c>
      <c r="C394">
        <v>105</v>
      </c>
      <c r="D394" s="6">
        <v>44881.120000000003</v>
      </c>
      <c r="E394" s="6">
        <v>14810.77</v>
      </c>
    </row>
    <row r="395" spans="1:5" x14ac:dyDescent="0.25">
      <c r="A395" t="str">
        <f>"058768"</f>
        <v>058768</v>
      </c>
      <c r="B395" t="s">
        <v>331</v>
      </c>
      <c r="C395">
        <v>197</v>
      </c>
      <c r="D395" s="6">
        <v>84205.53</v>
      </c>
      <c r="E395" s="6">
        <v>27787.82</v>
      </c>
    </row>
    <row r="396" spans="1:5" x14ac:dyDescent="0.25">
      <c r="A396" t="str">
        <f>"058826"</f>
        <v>058826</v>
      </c>
      <c r="B396" t="s">
        <v>277</v>
      </c>
      <c r="C396">
        <v>86</v>
      </c>
      <c r="D396" s="6">
        <v>36759.769999999997</v>
      </c>
      <c r="E396" s="6">
        <v>12130.72</v>
      </c>
    </row>
    <row r="397" spans="1:5" x14ac:dyDescent="0.25">
      <c r="A397" t="str">
        <f>"058834"</f>
        <v>058834</v>
      </c>
      <c r="B397" t="s">
        <v>292</v>
      </c>
      <c r="C397">
        <v>47</v>
      </c>
      <c r="D397" s="6">
        <v>20089.64</v>
      </c>
      <c r="E397" s="6">
        <v>6629.58</v>
      </c>
    </row>
    <row r="398" spans="1:5" x14ac:dyDescent="0.25">
      <c r="A398" t="str">
        <f>"058842"</f>
        <v>058842</v>
      </c>
      <c r="B398" t="s">
        <v>332</v>
      </c>
      <c r="C398">
        <v>36</v>
      </c>
      <c r="D398" s="6">
        <v>15387.81</v>
      </c>
      <c r="E398" s="6">
        <v>5077.9799999999996</v>
      </c>
    </row>
    <row r="399" spans="1:5" x14ac:dyDescent="0.25">
      <c r="A399" t="str">
        <f>"058859"</f>
        <v>058859</v>
      </c>
      <c r="B399" t="s">
        <v>205</v>
      </c>
      <c r="C399">
        <v>45</v>
      </c>
      <c r="D399" s="6">
        <v>19234.759999999998</v>
      </c>
      <c r="E399" s="6">
        <v>6347.47</v>
      </c>
    </row>
    <row r="400" spans="1:5" x14ac:dyDescent="0.25">
      <c r="A400" t="str">
        <f>"058875"</f>
        <v>058875</v>
      </c>
      <c r="B400" t="s">
        <v>333</v>
      </c>
      <c r="C400">
        <v>379</v>
      </c>
      <c r="D400" s="6">
        <v>161999.46</v>
      </c>
      <c r="E400" s="6">
        <v>53459.82</v>
      </c>
    </row>
    <row r="401" spans="1:5" x14ac:dyDescent="0.25">
      <c r="A401" t="str">
        <f>"058909"</f>
        <v>058909</v>
      </c>
      <c r="B401" t="s">
        <v>334</v>
      </c>
      <c r="C401">
        <v>156</v>
      </c>
      <c r="D401" s="6">
        <v>66680.52</v>
      </c>
      <c r="E401" s="6">
        <v>22004.57</v>
      </c>
    </row>
    <row r="402" spans="1:5" x14ac:dyDescent="0.25">
      <c r="A402" t="str">
        <f>"058933"</f>
        <v>058933</v>
      </c>
      <c r="B402" t="s">
        <v>335</v>
      </c>
      <c r="C402">
        <v>111</v>
      </c>
      <c r="D402" s="6">
        <v>47445.75</v>
      </c>
      <c r="E402" s="6">
        <v>15657.1</v>
      </c>
    </row>
    <row r="403" spans="1:5" x14ac:dyDescent="0.25">
      <c r="A403" t="str">
        <f>"058941"</f>
        <v>058941</v>
      </c>
      <c r="B403" t="s">
        <v>336</v>
      </c>
      <c r="C403">
        <v>157</v>
      </c>
      <c r="D403" s="6">
        <v>67107.960000000006</v>
      </c>
      <c r="E403" s="6">
        <v>22145.63</v>
      </c>
    </row>
    <row r="404" spans="1:5" x14ac:dyDescent="0.25">
      <c r="A404" t="str">
        <f>"059014"</f>
        <v>059014</v>
      </c>
      <c r="B404" t="s">
        <v>337</v>
      </c>
      <c r="C404">
        <v>74</v>
      </c>
      <c r="D404" s="6">
        <v>31630.5</v>
      </c>
      <c r="E404" s="6">
        <v>10438.07</v>
      </c>
    </row>
    <row r="405" spans="1:5" x14ac:dyDescent="0.25">
      <c r="A405" t="str">
        <f>"059022"</f>
        <v>059022</v>
      </c>
      <c r="B405" t="s">
        <v>338</v>
      </c>
      <c r="C405">
        <v>96</v>
      </c>
      <c r="D405" s="6">
        <v>41034.17</v>
      </c>
      <c r="E405" s="6">
        <v>13541.28</v>
      </c>
    </row>
    <row r="406" spans="1:5" x14ac:dyDescent="0.25">
      <c r="A406" t="str">
        <f>"059055"</f>
        <v>059055</v>
      </c>
      <c r="B406" t="s">
        <v>225</v>
      </c>
      <c r="C406">
        <v>31</v>
      </c>
      <c r="D406" s="6">
        <v>13250.62</v>
      </c>
      <c r="E406" s="6">
        <v>4372.7</v>
      </c>
    </row>
    <row r="407" spans="1:5" x14ac:dyDescent="0.25">
      <c r="A407" t="str">
        <f>"059071"</f>
        <v>059071</v>
      </c>
      <c r="B407" t="s">
        <v>225</v>
      </c>
      <c r="C407">
        <v>67</v>
      </c>
      <c r="D407" s="6">
        <v>28638.43</v>
      </c>
      <c r="E407" s="6">
        <v>9450.68</v>
      </c>
    </row>
    <row r="408" spans="1:5" x14ac:dyDescent="0.25">
      <c r="A408" t="str">
        <f>"059089"</f>
        <v>059089</v>
      </c>
      <c r="B408" t="s">
        <v>225</v>
      </c>
      <c r="C408">
        <v>231</v>
      </c>
      <c r="D408" s="6">
        <v>98738.46</v>
      </c>
      <c r="E408" s="6">
        <v>32583.69</v>
      </c>
    </row>
    <row r="409" spans="1:5" x14ac:dyDescent="0.25">
      <c r="A409" t="str">
        <f>"059097"</f>
        <v>059097</v>
      </c>
      <c r="B409" t="s">
        <v>225</v>
      </c>
      <c r="C409">
        <v>71</v>
      </c>
      <c r="D409" s="6">
        <v>30348.18</v>
      </c>
      <c r="E409" s="6">
        <v>10014.9</v>
      </c>
    </row>
    <row r="410" spans="1:5" x14ac:dyDescent="0.25">
      <c r="A410" t="str">
        <f>"059105"</f>
        <v>059105</v>
      </c>
      <c r="B410" t="s">
        <v>225</v>
      </c>
      <c r="C410">
        <v>401</v>
      </c>
      <c r="D410" s="6">
        <v>171403.13</v>
      </c>
      <c r="E410" s="6">
        <v>56563.03</v>
      </c>
    </row>
    <row r="411" spans="1:5" x14ac:dyDescent="0.25">
      <c r="A411" t="str">
        <f>"059139"</f>
        <v>059139</v>
      </c>
      <c r="B411" t="s">
        <v>229</v>
      </c>
      <c r="C411">
        <v>32</v>
      </c>
      <c r="D411" s="6">
        <v>13678.06</v>
      </c>
      <c r="E411" s="6">
        <v>4513.76</v>
      </c>
    </row>
    <row r="412" spans="1:5" x14ac:dyDescent="0.25">
      <c r="A412" t="str">
        <f>"059170"</f>
        <v>059170</v>
      </c>
      <c r="B412" t="s">
        <v>232</v>
      </c>
      <c r="C412">
        <v>81</v>
      </c>
      <c r="D412" s="6">
        <v>34622.58</v>
      </c>
      <c r="E412" s="6">
        <v>11425.45</v>
      </c>
    </row>
    <row r="413" spans="1:5" x14ac:dyDescent="0.25">
      <c r="A413" t="str">
        <f>"059196"</f>
        <v>059196</v>
      </c>
      <c r="B413" t="s">
        <v>232</v>
      </c>
      <c r="C413">
        <v>84</v>
      </c>
      <c r="D413" s="6">
        <v>35904.89</v>
      </c>
      <c r="E413" s="6">
        <v>11848.61</v>
      </c>
    </row>
    <row r="414" spans="1:5" x14ac:dyDescent="0.25">
      <c r="A414" t="str">
        <f>"059204"</f>
        <v>059204</v>
      </c>
      <c r="B414" t="s">
        <v>339</v>
      </c>
      <c r="C414">
        <v>64</v>
      </c>
      <c r="D414" s="6">
        <v>27356.11</v>
      </c>
      <c r="E414" s="6">
        <v>9027.52</v>
      </c>
    </row>
    <row r="415" spans="1:5" x14ac:dyDescent="0.25">
      <c r="A415" t="str">
        <f>"059246"</f>
        <v>059246</v>
      </c>
      <c r="B415" t="s">
        <v>340</v>
      </c>
      <c r="C415">
        <v>96</v>
      </c>
      <c r="D415" s="6">
        <v>41034.17</v>
      </c>
      <c r="E415" s="6">
        <v>13541.28</v>
      </c>
    </row>
    <row r="416" spans="1:5" x14ac:dyDescent="0.25">
      <c r="A416" t="str">
        <f>"059279"</f>
        <v>059279</v>
      </c>
      <c r="B416" t="s">
        <v>232</v>
      </c>
      <c r="C416">
        <v>79</v>
      </c>
      <c r="D416" s="6">
        <v>33767.699999999997</v>
      </c>
      <c r="E416" s="6">
        <v>11143.34</v>
      </c>
    </row>
    <row r="417" spans="1:5" x14ac:dyDescent="0.25">
      <c r="A417" t="str">
        <f>"059287"</f>
        <v>059287</v>
      </c>
      <c r="B417" t="s">
        <v>232</v>
      </c>
      <c r="C417">
        <v>91</v>
      </c>
      <c r="D417" s="6">
        <v>38896.97</v>
      </c>
      <c r="E417" s="6">
        <v>12836</v>
      </c>
    </row>
    <row r="418" spans="1:5" x14ac:dyDescent="0.25">
      <c r="A418" t="str">
        <f>"059303"</f>
        <v>059303</v>
      </c>
      <c r="B418" t="s">
        <v>341</v>
      </c>
      <c r="C418">
        <v>391</v>
      </c>
      <c r="D418" s="6">
        <v>167128.73000000001</v>
      </c>
      <c r="E418" s="6">
        <v>55152.480000000003</v>
      </c>
    </row>
    <row r="419" spans="1:5" x14ac:dyDescent="0.25">
      <c r="A419" t="str">
        <f>"059337"</f>
        <v>059337</v>
      </c>
      <c r="B419" t="s">
        <v>236</v>
      </c>
      <c r="C419">
        <v>109</v>
      </c>
      <c r="D419" s="6">
        <v>46590.87</v>
      </c>
      <c r="E419" s="6">
        <v>15374.99</v>
      </c>
    </row>
    <row r="420" spans="1:5" x14ac:dyDescent="0.25">
      <c r="A420" t="str">
        <f>"059345"</f>
        <v>059345</v>
      </c>
      <c r="B420" t="s">
        <v>342</v>
      </c>
      <c r="C420">
        <v>325</v>
      </c>
      <c r="D420" s="6">
        <v>138917.75</v>
      </c>
      <c r="E420" s="6">
        <v>45842.86</v>
      </c>
    </row>
    <row r="421" spans="1:5" x14ac:dyDescent="0.25">
      <c r="A421" t="str">
        <f>"059360"</f>
        <v>059360</v>
      </c>
      <c r="B421" t="s">
        <v>237</v>
      </c>
      <c r="C421">
        <v>125</v>
      </c>
      <c r="D421" s="6">
        <v>53429.9</v>
      </c>
      <c r="E421" s="6">
        <v>17631.87</v>
      </c>
    </row>
    <row r="422" spans="1:5" x14ac:dyDescent="0.25">
      <c r="A422" t="str">
        <f>"059378"</f>
        <v>059378</v>
      </c>
      <c r="B422" t="s">
        <v>237</v>
      </c>
      <c r="C422">
        <v>161</v>
      </c>
      <c r="D422" s="6">
        <v>68817.710000000006</v>
      </c>
      <c r="E422" s="6">
        <v>22709.84</v>
      </c>
    </row>
    <row r="423" spans="1:5" x14ac:dyDescent="0.25">
      <c r="A423" t="str">
        <f>"059386"</f>
        <v>059386</v>
      </c>
      <c r="B423" t="s">
        <v>237</v>
      </c>
      <c r="C423">
        <v>125</v>
      </c>
      <c r="D423" s="6">
        <v>53429.9</v>
      </c>
      <c r="E423" s="6">
        <v>17631.87</v>
      </c>
    </row>
    <row r="424" spans="1:5" x14ac:dyDescent="0.25">
      <c r="A424" t="str">
        <f>"059394"</f>
        <v>059394</v>
      </c>
      <c r="B424" t="s">
        <v>295</v>
      </c>
      <c r="C424">
        <v>257</v>
      </c>
      <c r="D424" s="6">
        <v>109851.88</v>
      </c>
      <c r="E424" s="6">
        <v>36251.120000000003</v>
      </c>
    </row>
    <row r="425" spans="1:5" x14ac:dyDescent="0.25">
      <c r="A425" t="str">
        <f>"059428"</f>
        <v>059428</v>
      </c>
      <c r="B425" t="s">
        <v>319</v>
      </c>
      <c r="C425">
        <v>150</v>
      </c>
      <c r="D425" s="6">
        <v>64115.88</v>
      </c>
      <c r="E425" s="6">
        <v>21158.240000000002</v>
      </c>
    </row>
    <row r="426" spans="1:5" x14ac:dyDescent="0.25">
      <c r="A426" t="str">
        <f>"059436"</f>
        <v>059436</v>
      </c>
      <c r="B426" t="s">
        <v>343</v>
      </c>
      <c r="C426">
        <v>56</v>
      </c>
      <c r="D426" s="6">
        <v>23936.6</v>
      </c>
      <c r="E426" s="6">
        <v>7899.08</v>
      </c>
    </row>
    <row r="427" spans="1:5" x14ac:dyDescent="0.25">
      <c r="A427" t="str">
        <f>"059444"</f>
        <v>059444</v>
      </c>
      <c r="B427" t="s">
        <v>320</v>
      </c>
      <c r="C427">
        <v>106</v>
      </c>
      <c r="D427" s="6">
        <v>45308.56</v>
      </c>
      <c r="E427" s="6">
        <v>14951.82</v>
      </c>
    </row>
    <row r="428" spans="1:5" x14ac:dyDescent="0.25">
      <c r="A428" t="str">
        <f>"059451"</f>
        <v>059451</v>
      </c>
      <c r="B428" t="s">
        <v>320</v>
      </c>
      <c r="C428">
        <v>334</v>
      </c>
      <c r="D428" s="6">
        <v>142764.70000000001</v>
      </c>
      <c r="E428" s="6">
        <v>47112.35</v>
      </c>
    </row>
    <row r="429" spans="1:5" x14ac:dyDescent="0.25">
      <c r="A429" t="str">
        <f>"059535"</f>
        <v>059535</v>
      </c>
      <c r="B429" t="s">
        <v>329</v>
      </c>
      <c r="C429">
        <v>99</v>
      </c>
      <c r="D429" s="6">
        <v>42316.480000000003</v>
      </c>
      <c r="E429" s="6">
        <v>13964.44</v>
      </c>
    </row>
    <row r="430" spans="1:5" x14ac:dyDescent="0.25">
      <c r="A430" t="str">
        <f>"059592"</f>
        <v>059592</v>
      </c>
      <c r="B430" t="s">
        <v>333</v>
      </c>
      <c r="C430">
        <v>290</v>
      </c>
      <c r="D430" s="6">
        <v>123957.37</v>
      </c>
      <c r="E430" s="6">
        <v>40905.93</v>
      </c>
    </row>
    <row r="431" spans="1:5" x14ac:dyDescent="0.25">
      <c r="A431" t="str">
        <f>"059626"</f>
        <v>059626</v>
      </c>
      <c r="B431" t="s">
        <v>344</v>
      </c>
      <c r="C431">
        <v>173</v>
      </c>
      <c r="D431" s="6">
        <v>73946.98</v>
      </c>
      <c r="E431" s="6">
        <v>24402.5</v>
      </c>
    </row>
    <row r="432" spans="1:5" x14ac:dyDescent="0.25">
      <c r="A432" t="str">
        <f>"059634"</f>
        <v>059634</v>
      </c>
      <c r="B432" t="s">
        <v>345</v>
      </c>
      <c r="C432">
        <v>112</v>
      </c>
      <c r="D432" s="6">
        <v>47873.19</v>
      </c>
      <c r="E432" s="6">
        <v>15798.15</v>
      </c>
    </row>
    <row r="433" spans="1:5" x14ac:dyDescent="0.25">
      <c r="A433" t="str">
        <f>"059667"</f>
        <v>059667</v>
      </c>
      <c r="B433" t="s">
        <v>142</v>
      </c>
      <c r="C433">
        <v>181</v>
      </c>
      <c r="D433" s="6">
        <v>77366.5</v>
      </c>
      <c r="E433" s="6">
        <v>25530.95</v>
      </c>
    </row>
    <row r="434" spans="1:5" x14ac:dyDescent="0.25">
      <c r="A434" t="str">
        <f>"059691"</f>
        <v>059691</v>
      </c>
      <c r="B434" t="s">
        <v>235</v>
      </c>
      <c r="C434">
        <v>341</v>
      </c>
      <c r="D434" s="6">
        <v>145756.76999999999</v>
      </c>
      <c r="E434" s="6">
        <v>48099.73</v>
      </c>
    </row>
    <row r="435" spans="1:5" x14ac:dyDescent="0.25">
      <c r="A435" t="str">
        <f>"059717"</f>
        <v>059717</v>
      </c>
      <c r="B435" t="s">
        <v>237</v>
      </c>
      <c r="C435">
        <v>129</v>
      </c>
      <c r="D435" s="6">
        <v>55139.66</v>
      </c>
      <c r="E435" s="6">
        <v>18196.09</v>
      </c>
    </row>
    <row r="436" spans="1:5" x14ac:dyDescent="0.25">
      <c r="A436" t="str">
        <f>"059733"</f>
        <v>059733</v>
      </c>
      <c r="B436" t="s">
        <v>303</v>
      </c>
      <c r="C436">
        <v>196</v>
      </c>
      <c r="D436" s="6">
        <v>83778.09</v>
      </c>
      <c r="E436" s="6">
        <v>27646.77</v>
      </c>
    </row>
    <row r="437" spans="1:5" x14ac:dyDescent="0.25">
      <c r="A437" t="str">
        <f>"059790"</f>
        <v>059790</v>
      </c>
      <c r="B437" t="s">
        <v>320</v>
      </c>
      <c r="C437">
        <v>305</v>
      </c>
      <c r="D437" s="6">
        <v>130368.96000000001</v>
      </c>
      <c r="E437" s="6">
        <v>43021.760000000002</v>
      </c>
    </row>
    <row r="438" spans="1:5" x14ac:dyDescent="0.25">
      <c r="A438" t="str">
        <f>"059816"</f>
        <v>059816</v>
      </c>
      <c r="B438" t="s">
        <v>236</v>
      </c>
      <c r="C438">
        <v>218</v>
      </c>
      <c r="D438" s="6">
        <v>93181.75</v>
      </c>
      <c r="E438" s="6">
        <v>30749.98</v>
      </c>
    </row>
    <row r="439" spans="1:5" x14ac:dyDescent="0.25">
      <c r="A439" t="str">
        <f>"059840"</f>
        <v>059840</v>
      </c>
      <c r="B439" t="s">
        <v>229</v>
      </c>
      <c r="C439">
        <v>29</v>
      </c>
      <c r="D439" s="6">
        <v>12395.74</v>
      </c>
      <c r="E439" s="6">
        <v>4090.59</v>
      </c>
    </row>
    <row r="440" spans="1:5" x14ac:dyDescent="0.25">
      <c r="A440" t="str">
        <f>"059865"</f>
        <v>059865</v>
      </c>
      <c r="B440" t="s">
        <v>346</v>
      </c>
      <c r="C440">
        <v>68</v>
      </c>
      <c r="D440" s="6">
        <v>29065.87</v>
      </c>
      <c r="E440" s="6">
        <v>9591.74</v>
      </c>
    </row>
    <row r="441" spans="1:5" x14ac:dyDescent="0.25">
      <c r="A441" t="str">
        <f>"059881"</f>
        <v>059881</v>
      </c>
      <c r="B441" t="s">
        <v>232</v>
      </c>
      <c r="C441">
        <v>173</v>
      </c>
      <c r="D441" s="6">
        <v>73946.98</v>
      </c>
      <c r="E441" s="6">
        <v>24402.5</v>
      </c>
    </row>
    <row r="442" spans="1:5" x14ac:dyDescent="0.25">
      <c r="A442" t="str">
        <f>"059956"</f>
        <v>059956</v>
      </c>
      <c r="B442" t="s">
        <v>318</v>
      </c>
      <c r="C442">
        <v>327</v>
      </c>
      <c r="D442" s="6">
        <v>139772.62</v>
      </c>
      <c r="E442" s="6">
        <v>46124.959999999999</v>
      </c>
    </row>
    <row r="443" spans="1:5" x14ac:dyDescent="0.25">
      <c r="A443" t="str">
        <f>"059964"</f>
        <v>059964</v>
      </c>
      <c r="B443" t="s">
        <v>181</v>
      </c>
      <c r="C443">
        <v>250</v>
      </c>
      <c r="D443" s="6">
        <v>106859.8</v>
      </c>
      <c r="E443" s="6">
        <v>35263.730000000003</v>
      </c>
    </row>
    <row r="444" spans="1:5" x14ac:dyDescent="0.25">
      <c r="A444" t="str">
        <f>"059980"</f>
        <v>059980</v>
      </c>
      <c r="B444" t="s">
        <v>318</v>
      </c>
      <c r="C444">
        <v>79</v>
      </c>
      <c r="D444" s="6">
        <v>33767.699999999997</v>
      </c>
      <c r="E444" s="6">
        <v>11143.34</v>
      </c>
    </row>
    <row r="445" spans="1:5" x14ac:dyDescent="0.25">
      <c r="A445" t="str">
        <f>"060004"</f>
        <v>060004</v>
      </c>
      <c r="B445" t="s">
        <v>347</v>
      </c>
      <c r="C445">
        <v>187</v>
      </c>
      <c r="D445" s="6">
        <v>79931.13</v>
      </c>
      <c r="E445" s="6">
        <v>26377.27</v>
      </c>
    </row>
    <row r="446" spans="1:5" x14ac:dyDescent="0.25">
      <c r="A446" t="str">
        <f>"060012"</f>
        <v>060012</v>
      </c>
      <c r="B446" t="s">
        <v>225</v>
      </c>
      <c r="C446">
        <v>114</v>
      </c>
      <c r="D446" s="6">
        <v>48728.07</v>
      </c>
      <c r="E446" s="6">
        <v>16080.26</v>
      </c>
    </row>
    <row r="447" spans="1:5" x14ac:dyDescent="0.25">
      <c r="A447" t="str">
        <f>"060020"</f>
        <v>060020</v>
      </c>
      <c r="B447" t="s">
        <v>348</v>
      </c>
      <c r="C447">
        <v>267</v>
      </c>
      <c r="D447" s="6">
        <v>114126.27</v>
      </c>
      <c r="E447" s="6">
        <v>37661.67</v>
      </c>
    </row>
    <row r="448" spans="1:5" x14ac:dyDescent="0.25">
      <c r="A448" t="str">
        <f>"060095"</f>
        <v>060095</v>
      </c>
      <c r="B448" t="s">
        <v>221</v>
      </c>
      <c r="C448">
        <v>51</v>
      </c>
      <c r="D448" s="6">
        <v>21799.4</v>
      </c>
      <c r="E448" s="6">
        <v>7193.8</v>
      </c>
    </row>
    <row r="449" spans="1:5" x14ac:dyDescent="0.25">
      <c r="A449" t="str">
        <f>"060152"</f>
        <v>060152</v>
      </c>
      <c r="B449" t="s">
        <v>349</v>
      </c>
      <c r="C449">
        <v>330</v>
      </c>
      <c r="D449" s="6">
        <v>141054.94</v>
      </c>
      <c r="E449" s="6">
        <v>46548.13</v>
      </c>
    </row>
    <row r="450" spans="1:5" x14ac:dyDescent="0.25">
      <c r="A450" t="str">
        <f>"060301"</f>
        <v>060301</v>
      </c>
      <c r="B450" t="s">
        <v>350</v>
      </c>
      <c r="C450">
        <v>199</v>
      </c>
      <c r="D450" s="6">
        <v>85060.4</v>
      </c>
      <c r="E450" s="6">
        <v>28069.93</v>
      </c>
    </row>
    <row r="451" spans="1:5" x14ac:dyDescent="0.25">
      <c r="A451" t="str">
        <f>"060327"</f>
        <v>060327</v>
      </c>
      <c r="B451" t="s">
        <v>351</v>
      </c>
      <c r="C451">
        <v>154</v>
      </c>
      <c r="D451" s="6">
        <v>65825.64</v>
      </c>
      <c r="E451" s="6">
        <v>21722.46</v>
      </c>
    </row>
    <row r="452" spans="1:5" x14ac:dyDescent="0.25">
      <c r="A452" t="str">
        <f>"060335"</f>
        <v>060335</v>
      </c>
      <c r="B452" t="s">
        <v>352</v>
      </c>
      <c r="C452">
        <v>25</v>
      </c>
      <c r="D452" s="6">
        <v>10685.98</v>
      </c>
      <c r="E452" s="6">
        <v>3526.37</v>
      </c>
    </row>
    <row r="453" spans="1:5" x14ac:dyDescent="0.25">
      <c r="A453" t="str">
        <f>"060343"</f>
        <v>060343</v>
      </c>
      <c r="B453" t="s">
        <v>353</v>
      </c>
      <c r="C453">
        <v>228</v>
      </c>
      <c r="D453" s="6">
        <v>97456.14</v>
      </c>
      <c r="E453" s="6">
        <v>32160.53</v>
      </c>
    </row>
    <row r="454" spans="1:5" x14ac:dyDescent="0.25">
      <c r="A454" t="str">
        <f>"060368"</f>
        <v>060368</v>
      </c>
      <c r="B454" t="s">
        <v>354</v>
      </c>
      <c r="C454">
        <v>158</v>
      </c>
      <c r="D454" s="6">
        <v>67535.399999999994</v>
      </c>
      <c r="E454" s="6">
        <v>22286.68</v>
      </c>
    </row>
    <row r="455" spans="1:5" x14ac:dyDescent="0.25">
      <c r="A455" t="str">
        <f>"060384"</f>
        <v>060384</v>
      </c>
      <c r="B455" t="s">
        <v>355</v>
      </c>
      <c r="C455">
        <v>160</v>
      </c>
      <c r="D455" s="6">
        <v>68390.28</v>
      </c>
      <c r="E455" s="6">
        <v>22568.79</v>
      </c>
    </row>
    <row r="456" spans="1:5" x14ac:dyDescent="0.25">
      <c r="A456" t="str">
        <f>"060392"</f>
        <v>060392</v>
      </c>
      <c r="B456" t="s">
        <v>355</v>
      </c>
      <c r="C456">
        <v>83</v>
      </c>
      <c r="D456" s="6">
        <v>35477.46</v>
      </c>
      <c r="E456" s="6">
        <v>11707.56</v>
      </c>
    </row>
    <row r="457" spans="1:5" x14ac:dyDescent="0.25">
      <c r="A457" t="str">
        <f>"060426"</f>
        <v>060426</v>
      </c>
      <c r="B457" t="s">
        <v>355</v>
      </c>
      <c r="C457">
        <v>197</v>
      </c>
      <c r="D457" s="6">
        <v>84205.53</v>
      </c>
      <c r="E457" s="6">
        <v>27787.82</v>
      </c>
    </row>
    <row r="458" spans="1:5" x14ac:dyDescent="0.25">
      <c r="A458" t="str">
        <f>"060434"</f>
        <v>060434</v>
      </c>
      <c r="B458" t="s">
        <v>355</v>
      </c>
      <c r="C458">
        <v>39</v>
      </c>
      <c r="D458" s="6">
        <v>16670.13</v>
      </c>
      <c r="E458" s="6">
        <v>5501.14</v>
      </c>
    </row>
    <row r="459" spans="1:5" x14ac:dyDescent="0.25">
      <c r="A459" t="str">
        <f>"060491"</f>
        <v>060491</v>
      </c>
      <c r="B459" t="s">
        <v>356</v>
      </c>
      <c r="C459">
        <v>141</v>
      </c>
      <c r="D459" s="6">
        <v>60268.93</v>
      </c>
      <c r="E459" s="6">
        <v>19888.75</v>
      </c>
    </row>
    <row r="460" spans="1:5" x14ac:dyDescent="0.25">
      <c r="A460" t="str">
        <f>"060509"</f>
        <v>060509</v>
      </c>
      <c r="B460" t="s">
        <v>356</v>
      </c>
      <c r="C460">
        <v>136</v>
      </c>
      <c r="D460" s="6">
        <v>58131.73</v>
      </c>
      <c r="E460" s="6">
        <v>19183.47</v>
      </c>
    </row>
    <row r="461" spans="1:5" x14ac:dyDescent="0.25">
      <c r="A461" t="str">
        <f>"060533"</f>
        <v>060533</v>
      </c>
      <c r="B461" t="s">
        <v>357</v>
      </c>
      <c r="C461">
        <v>8</v>
      </c>
      <c r="D461" s="6">
        <v>3419.51</v>
      </c>
      <c r="E461" s="6">
        <v>1128.44</v>
      </c>
    </row>
    <row r="462" spans="1:5" x14ac:dyDescent="0.25">
      <c r="A462" t="str">
        <f>"060541"</f>
        <v>060541</v>
      </c>
      <c r="B462" t="s">
        <v>358</v>
      </c>
      <c r="C462">
        <v>167</v>
      </c>
      <c r="D462" s="6">
        <v>71382.350000000006</v>
      </c>
      <c r="E462" s="6">
        <v>23556.18</v>
      </c>
    </row>
    <row r="463" spans="1:5" x14ac:dyDescent="0.25">
      <c r="A463" t="str">
        <f>"060574"</f>
        <v>060574</v>
      </c>
      <c r="B463" t="s">
        <v>359</v>
      </c>
      <c r="C463">
        <v>101</v>
      </c>
      <c r="D463" s="6">
        <v>43171.360000000001</v>
      </c>
      <c r="E463" s="6">
        <v>14246.55</v>
      </c>
    </row>
    <row r="464" spans="1:5" x14ac:dyDescent="0.25">
      <c r="A464" t="str">
        <f>"060582"</f>
        <v>060582</v>
      </c>
      <c r="B464" t="s">
        <v>360</v>
      </c>
      <c r="C464">
        <v>115</v>
      </c>
      <c r="D464" s="6">
        <v>49155.51</v>
      </c>
      <c r="E464" s="6">
        <v>16221.32</v>
      </c>
    </row>
    <row r="465" spans="1:5" x14ac:dyDescent="0.25">
      <c r="A465" t="str">
        <f>"060590"</f>
        <v>060590</v>
      </c>
      <c r="B465" t="s">
        <v>361</v>
      </c>
      <c r="C465">
        <v>242</v>
      </c>
      <c r="D465" s="6">
        <v>103440.29</v>
      </c>
      <c r="E465" s="6">
        <v>34135.300000000003</v>
      </c>
    </row>
    <row r="466" spans="1:5" x14ac:dyDescent="0.25">
      <c r="A466" t="str">
        <f>"060624"</f>
        <v>060624</v>
      </c>
      <c r="B466" t="s">
        <v>362</v>
      </c>
      <c r="C466">
        <v>217</v>
      </c>
      <c r="D466" s="6">
        <v>92754.31</v>
      </c>
      <c r="E466" s="6">
        <v>30608.92</v>
      </c>
    </row>
    <row r="467" spans="1:5" x14ac:dyDescent="0.25">
      <c r="A467" t="str">
        <f>"060640"</f>
        <v>060640</v>
      </c>
      <c r="B467" t="s">
        <v>363</v>
      </c>
      <c r="C467">
        <v>130</v>
      </c>
      <c r="D467" s="6">
        <v>55567.1</v>
      </c>
      <c r="E467" s="6">
        <v>18337.14</v>
      </c>
    </row>
    <row r="468" spans="1:5" x14ac:dyDescent="0.25">
      <c r="A468" t="str">
        <f>"060657"</f>
        <v>060657</v>
      </c>
      <c r="B468" t="s">
        <v>364</v>
      </c>
      <c r="C468">
        <v>227</v>
      </c>
      <c r="D468" s="6">
        <v>97028.7</v>
      </c>
      <c r="E468" s="6">
        <v>32019.47</v>
      </c>
    </row>
    <row r="469" spans="1:5" x14ac:dyDescent="0.25">
      <c r="A469" t="str">
        <f>"060723"</f>
        <v>060723</v>
      </c>
      <c r="B469" t="s">
        <v>365</v>
      </c>
      <c r="C469">
        <v>508</v>
      </c>
      <c r="D469" s="6">
        <v>217139.12</v>
      </c>
      <c r="E469" s="6">
        <v>71655.91</v>
      </c>
    </row>
    <row r="470" spans="1:5" x14ac:dyDescent="0.25">
      <c r="A470" t="str">
        <f>"060764"</f>
        <v>060764</v>
      </c>
      <c r="B470" t="s">
        <v>366</v>
      </c>
      <c r="C470">
        <v>512</v>
      </c>
      <c r="D470" s="6">
        <v>218848.88</v>
      </c>
      <c r="E470" s="6">
        <v>72220.13</v>
      </c>
    </row>
    <row r="471" spans="1:5" x14ac:dyDescent="0.25">
      <c r="A471" t="str">
        <f>"060806"</f>
        <v>060806</v>
      </c>
      <c r="B471" t="s">
        <v>367</v>
      </c>
      <c r="C471">
        <v>524</v>
      </c>
      <c r="D471" s="6">
        <v>223978.15</v>
      </c>
      <c r="E471" s="6">
        <v>73912.789999999994</v>
      </c>
    </row>
    <row r="472" spans="1:5" x14ac:dyDescent="0.25">
      <c r="A472" t="str">
        <f>"060848"</f>
        <v>060848</v>
      </c>
      <c r="B472" t="s">
        <v>368</v>
      </c>
      <c r="C472">
        <v>387</v>
      </c>
      <c r="D472" s="6">
        <v>165418.98000000001</v>
      </c>
      <c r="E472" s="6">
        <v>54588.26</v>
      </c>
    </row>
    <row r="473" spans="1:5" x14ac:dyDescent="0.25">
      <c r="A473" t="str">
        <f>"060863"</f>
        <v>060863</v>
      </c>
      <c r="B473" t="s">
        <v>369</v>
      </c>
      <c r="C473">
        <v>56</v>
      </c>
      <c r="D473" s="6">
        <v>23936.6</v>
      </c>
      <c r="E473" s="6">
        <v>7899.08</v>
      </c>
    </row>
    <row r="474" spans="1:5" x14ac:dyDescent="0.25">
      <c r="A474" t="str">
        <f>"060889"</f>
        <v>060889</v>
      </c>
      <c r="B474" t="s">
        <v>370</v>
      </c>
      <c r="C474">
        <v>39</v>
      </c>
      <c r="D474" s="6">
        <v>16670.13</v>
      </c>
      <c r="E474" s="6">
        <v>5501.14</v>
      </c>
    </row>
    <row r="475" spans="1:5" x14ac:dyDescent="0.25">
      <c r="A475" t="str">
        <f>"060905"</f>
        <v>060905</v>
      </c>
      <c r="B475" t="s">
        <v>371</v>
      </c>
      <c r="C475">
        <v>403</v>
      </c>
      <c r="D475" s="6">
        <v>172258.01</v>
      </c>
      <c r="E475" s="6">
        <v>56845.14</v>
      </c>
    </row>
    <row r="476" spans="1:5" x14ac:dyDescent="0.25">
      <c r="A476" t="str">
        <f>"060921"</f>
        <v>060921</v>
      </c>
      <c r="B476" t="s">
        <v>356</v>
      </c>
      <c r="C476">
        <v>75</v>
      </c>
      <c r="D476" s="6">
        <v>32057.94</v>
      </c>
      <c r="E476" s="6">
        <v>10579.12</v>
      </c>
    </row>
    <row r="477" spans="1:5" x14ac:dyDescent="0.25">
      <c r="A477" t="str">
        <f>"060947"</f>
        <v>060947</v>
      </c>
      <c r="B477" t="s">
        <v>372</v>
      </c>
      <c r="C477">
        <v>155</v>
      </c>
      <c r="D477" s="6">
        <v>66253.08</v>
      </c>
      <c r="E477" s="6">
        <v>21863.52</v>
      </c>
    </row>
    <row r="478" spans="1:5" x14ac:dyDescent="0.25">
      <c r="A478" t="str">
        <f>"060954"</f>
        <v>060954</v>
      </c>
      <c r="B478" t="s">
        <v>335</v>
      </c>
      <c r="C478">
        <v>412</v>
      </c>
      <c r="D478" s="6">
        <v>176104.95999999999</v>
      </c>
      <c r="E478" s="6">
        <v>58114.64</v>
      </c>
    </row>
    <row r="479" spans="1:5" x14ac:dyDescent="0.25">
      <c r="A479" t="str">
        <f>"060962"</f>
        <v>060962</v>
      </c>
      <c r="B479" t="s">
        <v>373</v>
      </c>
      <c r="C479">
        <v>346</v>
      </c>
      <c r="D479" s="6">
        <v>147893.97</v>
      </c>
      <c r="E479" s="6">
        <v>48805.01</v>
      </c>
    </row>
    <row r="480" spans="1:5" x14ac:dyDescent="0.25">
      <c r="A480" t="str">
        <f>"062463"</f>
        <v>062463</v>
      </c>
      <c r="B480" t="s">
        <v>374</v>
      </c>
      <c r="C480">
        <v>10</v>
      </c>
      <c r="D480" s="6">
        <v>4274.3900000000003</v>
      </c>
      <c r="E480" s="6">
        <v>1410.55</v>
      </c>
    </row>
    <row r="481" spans="1:5" x14ac:dyDescent="0.25">
      <c r="A481" t="str">
        <f>"062471"</f>
        <v>062471</v>
      </c>
      <c r="B481" t="s">
        <v>375</v>
      </c>
      <c r="C481">
        <v>426</v>
      </c>
      <c r="D481" s="6">
        <v>182089.11</v>
      </c>
      <c r="E481" s="6">
        <v>60089.41</v>
      </c>
    </row>
    <row r="482" spans="1:5" x14ac:dyDescent="0.25">
      <c r="A482" t="str">
        <f>"062489"</f>
        <v>062489</v>
      </c>
      <c r="B482" t="s">
        <v>376</v>
      </c>
      <c r="C482">
        <v>987</v>
      </c>
      <c r="D482" s="6">
        <v>421882.51</v>
      </c>
      <c r="E482" s="6">
        <v>139221.23000000001</v>
      </c>
    </row>
    <row r="483" spans="1:5" x14ac:dyDescent="0.25">
      <c r="A483" t="str">
        <f>"062497"</f>
        <v>062497</v>
      </c>
      <c r="B483" t="s">
        <v>358</v>
      </c>
      <c r="C483">
        <v>180</v>
      </c>
      <c r="D483" s="6">
        <v>71692.53</v>
      </c>
      <c r="E483" s="6">
        <v>23658.53</v>
      </c>
    </row>
    <row r="484" spans="1:5" x14ac:dyDescent="0.25">
      <c r="A484" t="str">
        <f>"062521"</f>
        <v>062521</v>
      </c>
      <c r="B484" t="s">
        <v>377</v>
      </c>
      <c r="C484">
        <v>32</v>
      </c>
      <c r="D484" s="6">
        <v>13678.06</v>
      </c>
      <c r="E484" s="6">
        <v>4513.76</v>
      </c>
    </row>
    <row r="485" spans="1:5" x14ac:dyDescent="0.25">
      <c r="A485" t="str">
        <f>"062562"</f>
        <v>062562</v>
      </c>
      <c r="B485" t="s">
        <v>378</v>
      </c>
      <c r="C485">
        <v>502</v>
      </c>
      <c r="D485" s="6">
        <v>214574.49</v>
      </c>
      <c r="E485" s="6">
        <v>70809.58</v>
      </c>
    </row>
    <row r="486" spans="1:5" x14ac:dyDescent="0.25">
      <c r="A486" t="str">
        <f>"062604"</f>
        <v>062604</v>
      </c>
      <c r="B486" t="s">
        <v>379</v>
      </c>
      <c r="C486">
        <v>115</v>
      </c>
      <c r="D486" s="6">
        <v>49155.51</v>
      </c>
      <c r="E486" s="6">
        <v>16221.32</v>
      </c>
    </row>
    <row r="487" spans="1:5" x14ac:dyDescent="0.25">
      <c r="A487" t="str">
        <f>"062612"</f>
        <v>062612</v>
      </c>
      <c r="B487" t="s">
        <v>380</v>
      </c>
      <c r="C487">
        <v>108</v>
      </c>
      <c r="D487" s="6">
        <v>46163.44</v>
      </c>
      <c r="E487" s="6">
        <v>15233.94</v>
      </c>
    </row>
    <row r="488" spans="1:5" x14ac:dyDescent="0.25">
      <c r="A488" t="str">
        <f>"062620"</f>
        <v>062620</v>
      </c>
      <c r="B488" t="s">
        <v>381</v>
      </c>
      <c r="C488">
        <v>215</v>
      </c>
      <c r="D488" s="6">
        <v>91899.43</v>
      </c>
      <c r="E488" s="6">
        <v>30326.81</v>
      </c>
    </row>
    <row r="489" spans="1:5" x14ac:dyDescent="0.25">
      <c r="A489" t="str">
        <f>"064394"</f>
        <v>064394</v>
      </c>
      <c r="B489" t="s">
        <v>382</v>
      </c>
      <c r="C489">
        <v>592</v>
      </c>
      <c r="D489" s="6">
        <v>253044.02</v>
      </c>
      <c r="E489" s="6">
        <v>83504.53</v>
      </c>
    </row>
    <row r="490" spans="1:5" x14ac:dyDescent="0.25">
      <c r="A490" t="str">
        <f>"064402"</f>
        <v>064402</v>
      </c>
      <c r="B490" t="s">
        <v>383</v>
      </c>
      <c r="C490">
        <v>262</v>
      </c>
      <c r="D490" s="6">
        <v>111989.08</v>
      </c>
      <c r="E490" s="6">
        <v>36956.400000000001</v>
      </c>
    </row>
    <row r="491" spans="1:5" x14ac:dyDescent="0.25">
      <c r="A491" t="str">
        <f>"064915"</f>
        <v>064915</v>
      </c>
      <c r="B491" t="s">
        <v>384</v>
      </c>
      <c r="C491">
        <v>611</v>
      </c>
      <c r="D491" s="6">
        <v>261165.36</v>
      </c>
      <c r="E491" s="6">
        <v>86184.57</v>
      </c>
    </row>
    <row r="492" spans="1:5" x14ac:dyDescent="0.25">
      <c r="A492" t="str">
        <f>"064923"</f>
        <v>064923</v>
      </c>
      <c r="B492" t="s">
        <v>385</v>
      </c>
      <c r="C492">
        <v>104</v>
      </c>
      <c r="D492" s="6">
        <v>44453.68</v>
      </c>
      <c r="E492" s="6">
        <v>14669.71</v>
      </c>
    </row>
    <row r="493" spans="1:5" x14ac:dyDescent="0.25">
      <c r="A493" t="str">
        <f>"064931"</f>
        <v>064931</v>
      </c>
      <c r="B493" t="s">
        <v>386</v>
      </c>
      <c r="C493">
        <v>196</v>
      </c>
      <c r="D493" s="6">
        <v>83778.09</v>
      </c>
      <c r="E493" s="6">
        <v>27646.77</v>
      </c>
    </row>
    <row r="494" spans="1:5" x14ac:dyDescent="0.25">
      <c r="A494" t="str">
        <f>"065003"</f>
        <v>065003</v>
      </c>
      <c r="B494" t="s">
        <v>387</v>
      </c>
      <c r="C494">
        <v>159</v>
      </c>
      <c r="D494" s="6">
        <v>67962.84</v>
      </c>
      <c r="E494" s="6">
        <v>22427.74</v>
      </c>
    </row>
    <row r="495" spans="1:5" x14ac:dyDescent="0.25">
      <c r="A495" t="str">
        <f>"065722"</f>
        <v>065722</v>
      </c>
      <c r="B495" t="s">
        <v>388</v>
      </c>
      <c r="C495">
        <v>103</v>
      </c>
      <c r="D495" s="6">
        <v>44026.239999999998</v>
      </c>
      <c r="E495" s="6">
        <v>14528.66</v>
      </c>
    </row>
    <row r="496" spans="1:5" x14ac:dyDescent="0.25">
      <c r="A496" t="str">
        <f>"065730"</f>
        <v>065730</v>
      </c>
      <c r="B496" t="s">
        <v>389</v>
      </c>
      <c r="C496">
        <v>127</v>
      </c>
      <c r="D496" s="6">
        <v>54284.78</v>
      </c>
      <c r="E496" s="6">
        <v>17913.98</v>
      </c>
    </row>
    <row r="497" spans="1:5" x14ac:dyDescent="0.25">
      <c r="A497" t="str">
        <f>"065755"</f>
        <v>065755</v>
      </c>
      <c r="B497" t="s">
        <v>390</v>
      </c>
      <c r="C497">
        <v>310</v>
      </c>
      <c r="D497" s="6">
        <v>132506.16</v>
      </c>
      <c r="E497" s="6">
        <v>43727.03</v>
      </c>
    </row>
    <row r="498" spans="1:5" x14ac:dyDescent="0.25">
      <c r="A498" t="str">
        <f>"066555"</f>
        <v>066555</v>
      </c>
      <c r="B498" t="s">
        <v>391</v>
      </c>
      <c r="C498">
        <v>632</v>
      </c>
      <c r="D498" s="6">
        <v>270141.59000000003</v>
      </c>
      <c r="E498" s="6">
        <v>89146.72</v>
      </c>
    </row>
    <row r="499" spans="1:5" x14ac:dyDescent="0.25">
      <c r="A499" t="str">
        <f>"067447"</f>
        <v>067447</v>
      </c>
      <c r="B499" t="s">
        <v>392</v>
      </c>
      <c r="C499">
        <v>212</v>
      </c>
      <c r="D499" s="6">
        <v>90617.11</v>
      </c>
      <c r="E499" s="6">
        <v>29903.65</v>
      </c>
    </row>
    <row r="500" spans="1:5" x14ac:dyDescent="0.25">
      <c r="A500" t="str">
        <f>"067538"</f>
        <v>067538</v>
      </c>
      <c r="B500" t="s">
        <v>393</v>
      </c>
      <c r="C500">
        <v>285</v>
      </c>
      <c r="D500" s="6">
        <v>121820.18</v>
      </c>
      <c r="E500" s="6">
        <v>40200.660000000003</v>
      </c>
    </row>
    <row r="501" spans="1:5" x14ac:dyDescent="0.25">
      <c r="A501" t="str">
        <f>"067546"</f>
        <v>067546</v>
      </c>
      <c r="B501" t="s">
        <v>394</v>
      </c>
      <c r="C501">
        <v>403</v>
      </c>
      <c r="D501" s="6">
        <v>172258.01</v>
      </c>
      <c r="E501" s="6">
        <v>56845.14</v>
      </c>
    </row>
    <row r="502" spans="1:5" x14ac:dyDescent="0.25">
      <c r="A502" t="str">
        <f>"067603"</f>
        <v>067603</v>
      </c>
      <c r="B502" t="s">
        <v>395</v>
      </c>
      <c r="C502">
        <v>167</v>
      </c>
      <c r="D502" s="6">
        <v>71382.350000000006</v>
      </c>
      <c r="E502" s="6">
        <v>23556.18</v>
      </c>
    </row>
    <row r="503" spans="1:5" x14ac:dyDescent="0.25">
      <c r="A503" t="str">
        <f>"067611"</f>
        <v>067611</v>
      </c>
      <c r="B503" t="s">
        <v>396</v>
      </c>
      <c r="C503">
        <v>833</v>
      </c>
      <c r="D503" s="6">
        <v>356056.87</v>
      </c>
      <c r="E503" s="6">
        <v>117498.77</v>
      </c>
    </row>
    <row r="504" spans="1:5" x14ac:dyDescent="0.25">
      <c r="A504" t="str">
        <f>"067629"</f>
        <v>067629</v>
      </c>
      <c r="B504" t="s">
        <v>397</v>
      </c>
      <c r="C504">
        <v>450</v>
      </c>
      <c r="D504" s="6">
        <v>192347.65</v>
      </c>
      <c r="E504" s="6">
        <v>63474.720000000001</v>
      </c>
    </row>
    <row r="505" spans="1:5" x14ac:dyDescent="0.25">
      <c r="A505" t="str">
        <f>"067637"</f>
        <v>067637</v>
      </c>
      <c r="B505" t="s">
        <v>398</v>
      </c>
      <c r="C505">
        <v>440</v>
      </c>
      <c r="D505" s="6">
        <v>188073.26</v>
      </c>
      <c r="E505" s="6">
        <v>62064.18</v>
      </c>
    </row>
    <row r="506" spans="1:5" x14ac:dyDescent="0.25">
      <c r="A506" t="str">
        <f>"068031"</f>
        <v>068031</v>
      </c>
      <c r="B506" t="s">
        <v>399</v>
      </c>
      <c r="C506">
        <v>215</v>
      </c>
      <c r="D506" s="6">
        <v>91899.43</v>
      </c>
      <c r="E506" s="6">
        <v>30326.81</v>
      </c>
    </row>
    <row r="507" spans="1:5" x14ac:dyDescent="0.25">
      <c r="A507" t="str">
        <f>"068056"</f>
        <v>068056</v>
      </c>
      <c r="B507" t="s">
        <v>400</v>
      </c>
      <c r="C507">
        <v>393</v>
      </c>
      <c r="D507" s="6">
        <v>167983.61</v>
      </c>
      <c r="E507" s="6">
        <v>55434.59</v>
      </c>
    </row>
    <row r="508" spans="1:5" x14ac:dyDescent="0.25">
      <c r="A508" t="str">
        <f>"068189"</f>
        <v>068189</v>
      </c>
      <c r="B508" t="s">
        <v>401</v>
      </c>
      <c r="C508">
        <v>131</v>
      </c>
      <c r="D508" s="6">
        <v>55994.54</v>
      </c>
      <c r="E508" s="6">
        <v>18478.2</v>
      </c>
    </row>
    <row r="509" spans="1:5" x14ac:dyDescent="0.25">
      <c r="A509" t="str">
        <f>"068205"</f>
        <v>068205</v>
      </c>
      <c r="B509" t="s">
        <v>402</v>
      </c>
      <c r="C509">
        <v>288</v>
      </c>
      <c r="D509" s="6">
        <v>123102.5</v>
      </c>
      <c r="E509" s="6">
        <v>40623.83</v>
      </c>
    </row>
    <row r="510" spans="1:5" x14ac:dyDescent="0.25">
      <c r="A510" t="str">
        <f>"068338"</f>
        <v>068338</v>
      </c>
      <c r="B510" t="s">
        <v>403</v>
      </c>
      <c r="C510">
        <v>148</v>
      </c>
      <c r="D510" s="6">
        <v>63261</v>
      </c>
      <c r="E510" s="6">
        <v>20876.13</v>
      </c>
    </row>
    <row r="511" spans="1:5" x14ac:dyDescent="0.25">
      <c r="A511" t="str">
        <f>"068403"</f>
        <v>068403</v>
      </c>
      <c r="B511" t="s">
        <v>404</v>
      </c>
      <c r="C511">
        <v>708</v>
      </c>
      <c r="D511" s="6">
        <v>302626.96999999997</v>
      </c>
      <c r="E511" s="6">
        <v>99866.9</v>
      </c>
    </row>
    <row r="512" spans="1:5" x14ac:dyDescent="0.25">
      <c r="A512" t="str">
        <f>"069906"</f>
        <v>069906</v>
      </c>
      <c r="B512" t="s">
        <v>405</v>
      </c>
      <c r="C512">
        <v>29</v>
      </c>
      <c r="D512" s="6">
        <v>12395.74</v>
      </c>
      <c r="E512" s="6">
        <v>4090.59</v>
      </c>
    </row>
    <row r="513" spans="1:5" x14ac:dyDescent="0.25">
      <c r="A513" t="str">
        <f>"069914"</f>
        <v>069914</v>
      </c>
      <c r="B513" t="s">
        <v>406</v>
      </c>
      <c r="C513">
        <v>84</v>
      </c>
      <c r="D513" s="6">
        <v>35904.89</v>
      </c>
      <c r="E513" s="6">
        <v>11848.61</v>
      </c>
    </row>
    <row r="514" spans="1:5" x14ac:dyDescent="0.25">
      <c r="A514" t="str">
        <f>"070136"</f>
        <v>070136</v>
      </c>
      <c r="B514" t="s">
        <v>407</v>
      </c>
      <c r="C514">
        <v>103</v>
      </c>
      <c r="D514" s="6">
        <v>44026.239999999998</v>
      </c>
      <c r="E514" s="6">
        <v>14528.66</v>
      </c>
    </row>
    <row r="515" spans="1:5" x14ac:dyDescent="0.25">
      <c r="A515" t="str">
        <f>"070151"</f>
        <v>070151</v>
      </c>
      <c r="B515" t="s">
        <v>408</v>
      </c>
      <c r="C515">
        <v>91</v>
      </c>
      <c r="D515" s="6">
        <v>38896.97</v>
      </c>
      <c r="E515" s="6">
        <v>12836</v>
      </c>
    </row>
    <row r="516" spans="1:5" x14ac:dyDescent="0.25">
      <c r="A516" t="str">
        <f>"070169"</f>
        <v>070169</v>
      </c>
      <c r="B516" t="s">
        <v>409</v>
      </c>
      <c r="C516">
        <v>59</v>
      </c>
      <c r="D516" s="6">
        <v>23794.48</v>
      </c>
      <c r="E516" s="6">
        <v>7852.18</v>
      </c>
    </row>
    <row r="517" spans="1:5" x14ac:dyDescent="0.25">
      <c r="A517" t="str">
        <f>"070243"</f>
        <v>070243</v>
      </c>
      <c r="B517" t="s">
        <v>410</v>
      </c>
      <c r="C517">
        <v>11</v>
      </c>
      <c r="D517" s="6">
        <v>4701.83</v>
      </c>
      <c r="E517" s="6">
        <v>1551.6</v>
      </c>
    </row>
    <row r="518" spans="1:5" x14ac:dyDescent="0.25">
      <c r="A518" t="str">
        <f>"070250"</f>
        <v>070250</v>
      </c>
      <c r="B518" t="s">
        <v>411</v>
      </c>
      <c r="C518">
        <v>8</v>
      </c>
      <c r="D518" s="6">
        <v>3419.51</v>
      </c>
      <c r="E518" s="6">
        <v>1128.44</v>
      </c>
    </row>
    <row r="519" spans="1:5" x14ac:dyDescent="0.25">
      <c r="A519" t="str">
        <f>"070276"</f>
        <v>070276</v>
      </c>
      <c r="B519" t="s">
        <v>412</v>
      </c>
      <c r="C519">
        <v>65</v>
      </c>
      <c r="D519" s="6">
        <v>27783.55</v>
      </c>
      <c r="E519" s="6">
        <v>9168.57</v>
      </c>
    </row>
    <row r="520" spans="1:5" x14ac:dyDescent="0.25">
      <c r="A520" t="str">
        <f>"070409"</f>
        <v>070409</v>
      </c>
      <c r="B520" t="s">
        <v>413</v>
      </c>
      <c r="C520">
        <v>466</v>
      </c>
      <c r="D520" s="6">
        <v>199186.68</v>
      </c>
      <c r="E520" s="6">
        <v>65731.600000000006</v>
      </c>
    </row>
    <row r="521" spans="1:5" x14ac:dyDescent="0.25">
      <c r="A521" t="str">
        <f>"070656"</f>
        <v>070656</v>
      </c>
      <c r="B521" t="s">
        <v>414</v>
      </c>
      <c r="C521">
        <v>100</v>
      </c>
      <c r="D521" s="6">
        <v>38840.35</v>
      </c>
      <c r="E521" s="6">
        <v>12817.32</v>
      </c>
    </row>
    <row r="522" spans="1:5" x14ac:dyDescent="0.25">
      <c r="A522" t="str">
        <f>"070664"</f>
        <v>070664</v>
      </c>
      <c r="B522" t="s">
        <v>415</v>
      </c>
      <c r="C522">
        <v>292</v>
      </c>
      <c r="D522" s="6">
        <v>124812.25</v>
      </c>
      <c r="E522" s="6">
        <v>41188.04</v>
      </c>
    </row>
    <row r="523" spans="1:5" x14ac:dyDescent="0.25">
      <c r="A523" t="str">
        <f>"070748"</f>
        <v>070748</v>
      </c>
      <c r="B523" t="s">
        <v>416</v>
      </c>
      <c r="C523">
        <v>234</v>
      </c>
      <c r="D523" s="6">
        <v>100020.78</v>
      </c>
      <c r="E523" s="6">
        <v>33006.86</v>
      </c>
    </row>
    <row r="524" spans="1:5" x14ac:dyDescent="0.25">
      <c r="A524" t="str">
        <f>"070771"</f>
        <v>070771</v>
      </c>
      <c r="B524" t="s">
        <v>417</v>
      </c>
      <c r="C524">
        <v>248</v>
      </c>
      <c r="D524" s="6">
        <v>106004.93</v>
      </c>
      <c r="E524" s="6">
        <v>34981.629999999997</v>
      </c>
    </row>
    <row r="525" spans="1:5" x14ac:dyDescent="0.25">
      <c r="A525" t="str">
        <f>"070789"</f>
        <v>070789</v>
      </c>
      <c r="B525" t="s">
        <v>418</v>
      </c>
      <c r="C525">
        <v>108</v>
      </c>
      <c r="D525" s="6">
        <v>46163.44</v>
      </c>
      <c r="E525" s="6">
        <v>15233.94</v>
      </c>
    </row>
    <row r="526" spans="1:5" x14ac:dyDescent="0.25">
      <c r="A526" t="str">
        <f>"070912"</f>
        <v>070912</v>
      </c>
      <c r="B526" t="s">
        <v>419</v>
      </c>
      <c r="C526">
        <v>99</v>
      </c>
      <c r="D526" s="6">
        <v>42316.480000000003</v>
      </c>
      <c r="E526" s="6">
        <v>13964.44</v>
      </c>
    </row>
    <row r="527" spans="1:5" x14ac:dyDescent="0.25">
      <c r="A527" t="str">
        <f>"070961"</f>
        <v>070961</v>
      </c>
      <c r="B527" t="s">
        <v>299</v>
      </c>
      <c r="C527">
        <v>12</v>
      </c>
      <c r="D527" s="6">
        <v>3563.22</v>
      </c>
      <c r="E527" s="6">
        <v>1175.8599999999999</v>
      </c>
    </row>
    <row r="528" spans="1:5" x14ac:dyDescent="0.25">
      <c r="A528" t="str">
        <f>"070979"</f>
        <v>070979</v>
      </c>
      <c r="B528" t="s">
        <v>420</v>
      </c>
      <c r="C528">
        <v>124</v>
      </c>
      <c r="D528" s="6">
        <v>53002.46</v>
      </c>
      <c r="E528" s="6">
        <v>17490.810000000001</v>
      </c>
    </row>
    <row r="529" spans="1:5" x14ac:dyDescent="0.25">
      <c r="A529" t="str">
        <f>"071001"</f>
        <v>071001</v>
      </c>
      <c r="B529" t="s">
        <v>421</v>
      </c>
      <c r="C529">
        <v>341</v>
      </c>
      <c r="D529" s="6">
        <v>145756.76999999999</v>
      </c>
      <c r="E529" s="6">
        <v>48099.73</v>
      </c>
    </row>
    <row r="530" spans="1:5" x14ac:dyDescent="0.25">
      <c r="A530" t="str">
        <f>"071571"</f>
        <v>071571</v>
      </c>
      <c r="B530" t="s">
        <v>422</v>
      </c>
      <c r="C530">
        <v>188</v>
      </c>
      <c r="D530" s="6">
        <v>80358.570000000007</v>
      </c>
      <c r="E530" s="6">
        <v>26518.33</v>
      </c>
    </row>
    <row r="531" spans="1:5" x14ac:dyDescent="0.25">
      <c r="A531" t="str">
        <f>"081851"</f>
        <v>081851</v>
      </c>
      <c r="B531" t="s">
        <v>423</v>
      </c>
      <c r="C531">
        <v>509</v>
      </c>
      <c r="D531" s="6">
        <v>217566.56</v>
      </c>
      <c r="E531" s="6">
        <v>71796.960000000006</v>
      </c>
    </row>
    <row r="532" spans="1:5" x14ac:dyDescent="0.25">
      <c r="A532" t="str">
        <f>"083295"</f>
        <v>083295</v>
      </c>
      <c r="B532" t="s">
        <v>424</v>
      </c>
      <c r="C532">
        <v>154</v>
      </c>
      <c r="D532" s="6">
        <v>65825.64</v>
      </c>
      <c r="E532" s="6">
        <v>21722.46</v>
      </c>
    </row>
    <row r="533" spans="1:5" x14ac:dyDescent="0.25">
      <c r="A533" t="str">
        <f>"083923"</f>
        <v>083923</v>
      </c>
      <c r="B533" t="s">
        <v>425</v>
      </c>
      <c r="C533">
        <v>128</v>
      </c>
      <c r="D533" s="6">
        <v>54648.89</v>
      </c>
      <c r="E533" s="6">
        <v>18034.13</v>
      </c>
    </row>
    <row r="534" spans="1:5" x14ac:dyDescent="0.25">
      <c r="A534" t="str">
        <f>"084202"</f>
        <v>084202</v>
      </c>
      <c r="B534" t="s">
        <v>426</v>
      </c>
      <c r="C534">
        <v>379</v>
      </c>
      <c r="D534" s="6">
        <v>161999.46</v>
      </c>
      <c r="E534" s="6">
        <v>53459.82</v>
      </c>
    </row>
    <row r="535" spans="1:5" x14ac:dyDescent="0.25">
      <c r="A535" t="str">
        <f>"085688"</f>
        <v>085688</v>
      </c>
      <c r="B535" t="s">
        <v>427</v>
      </c>
      <c r="C535">
        <v>169</v>
      </c>
      <c r="D535" s="6">
        <v>68277.48</v>
      </c>
      <c r="E535" s="6">
        <v>22531.57</v>
      </c>
    </row>
    <row r="536" spans="1:5" x14ac:dyDescent="0.25">
      <c r="A536" t="str">
        <f>"086033"</f>
        <v>086033</v>
      </c>
      <c r="B536" t="s">
        <v>428</v>
      </c>
      <c r="C536">
        <v>148</v>
      </c>
      <c r="D536" s="6">
        <v>63261</v>
      </c>
      <c r="E536" s="6">
        <v>20876.13</v>
      </c>
    </row>
    <row r="537" spans="1:5" x14ac:dyDescent="0.25">
      <c r="A537" t="str">
        <f>"086389"</f>
        <v>086389</v>
      </c>
      <c r="B537" t="s">
        <v>429</v>
      </c>
      <c r="C537">
        <v>149</v>
      </c>
      <c r="D537" s="6">
        <v>63688.44</v>
      </c>
      <c r="E537" s="6">
        <v>21017.19</v>
      </c>
    </row>
    <row r="538" spans="1:5" x14ac:dyDescent="0.25">
      <c r="A538" t="str">
        <f>"086520"</f>
        <v>086520</v>
      </c>
      <c r="B538" t="s">
        <v>430</v>
      </c>
      <c r="C538">
        <v>170</v>
      </c>
      <c r="D538" s="6">
        <v>72664.67</v>
      </c>
      <c r="E538" s="6">
        <v>23979.34</v>
      </c>
    </row>
    <row r="539" spans="1:5" x14ac:dyDescent="0.25">
      <c r="A539" t="str">
        <f>"086546"</f>
        <v>086546</v>
      </c>
      <c r="B539" t="s">
        <v>431</v>
      </c>
      <c r="C539">
        <v>104</v>
      </c>
      <c r="D539" s="6">
        <v>44453.68</v>
      </c>
      <c r="E539" s="6">
        <v>14669.71</v>
      </c>
    </row>
    <row r="540" spans="1:5" x14ac:dyDescent="0.25">
      <c r="A540" t="str">
        <f>"086678"</f>
        <v>086678</v>
      </c>
      <c r="B540" t="s">
        <v>75</v>
      </c>
      <c r="C540">
        <v>505</v>
      </c>
      <c r="D540" s="6">
        <v>215856.81</v>
      </c>
      <c r="E540" s="6">
        <v>71232.75</v>
      </c>
    </row>
    <row r="541" spans="1:5" x14ac:dyDescent="0.25">
      <c r="A541" t="str">
        <f>"087809"</f>
        <v>087809</v>
      </c>
      <c r="B541" t="s">
        <v>432</v>
      </c>
      <c r="C541">
        <v>47</v>
      </c>
      <c r="D541" s="6">
        <v>20089.64</v>
      </c>
      <c r="E541" s="6">
        <v>6629.58</v>
      </c>
    </row>
    <row r="542" spans="1:5" x14ac:dyDescent="0.25">
      <c r="A542" t="str">
        <f>"088062"</f>
        <v>088062</v>
      </c>
      <c r="B542" t="s">
        <v>433</v>
      </c>
      <c r="C542">
        <v>305</v>
      </c>
      <c r="D542" s="6">
        <v>130368.96000000001</v>
      </c>
      <c r="E542" s="6">
        <v>43021.760000000002</v>
      </c>
    </row>
    <row r="543" spans="1:5" x14ac:dyDescent="0.25">
      <c r="A543" t="str">
        <f>"088070"</f>
        <v>088070</v>
      </c>
      <c r="B543" t="s">
        <v>434</v>
      </c>
      <c r="C543">
        <v>283</v>
      </c>
      <c r="D543" s="6">
        <v>120965.3</v>
      </c>
      <c r="E543" s="6">
        <v>39918.550000000003</v>
      </c>
    </row>
    <row r="544" spans="1:5" x14ac:dyDescent="0.25">
      <c r="A544" t="str">
        <f>"088104"</f>
        <v>088104</v>
      </c>
      <c r="B544" t="s">
        <v>435</v>
      </c>
      <c r="C544">
        <v>26</v>
      </c>
      <c r="D544" s="6">
        <v>11113.42</v>
      </c>
      <c r="E544" s="6">
        <v>3667.43</v>
      </c>
    </row>
    <row r="545" spans="1:5" x14ac:dyDescent="0.25">
      <c r="A545" t="str">
        <f>"088112"</f>
        <v>088112</v>
      </c>
      <c r="B545" t="s">
        <v>436</v>
      </c>
      <c r="C545">
        <v>339</v>
      </c>
      <c r="D545" s="6">
        <v>144901.9</v>
      </c>
      <c r="E545" s="6">
        <v>47817.63</v>
      </c>
    </row>
    <row r="546" spans="1:5" x14ac:dyDescent="0.25">
      <c r="A546" t="str">
        <f>"088377"</f>
        <v>088377</v>
      </c>
      <c r="B546" t="s">
        <v>437</v>
      </c>
      <c r="C546">
        <v>10</v>
      </c>
      <c r="D546" s="6">
        <v>4274.3900000000003</v>
      </c>
      <c r="E546" s="6">
        <v>1410.55</v>
      </c>
    </row>
    <row r="547" spans="1:5" x14ac:dyDescent="0.25">
      <c r="A547" t="str">
        <f>"089409"</f>
        <v>089409</v>
      </c>
      <c r="B547" t="s">
        <v>438</v>
      </c>
      <c r="C547">
        <v>62</v>
      </c>
      <c r="D547" s="6">
        <v>26501.23</v>
      </c>
      <c r="E547" s="6">
        <v>8745.41</v>
      </c>
    </row>
    <row r="548" spans="1:5" x14ac:dyDescent="0.25">
      <c r="A548" t="str">
        <f>"089722"</f>
        <v>089722</v>
      </c>
      <c r="B548" t="s">
        <v>439</v>
      </c>
      <c r="C548">
        <v>517</v>
      </c>
      <c r="D548" s="6">
        <v>220986.08</v>
      </c>
      <c r="E548" s="6">
        <v>72925.41</v>
      </c>
    </row>
    <row r="549" spans="1:5" x14ac:dyDescent="0.25">
      <c r="A549" t="str">
        <f>"089979"</f>
        <v>089979</v>
      </c>
      <c r="B549" t="s">
        <v>440</v>
      </c>
      <c r="C549">
        <v>203</v>
      </c>
      <c r="D549" s="6">
        <v>86770.16</v>
      </c>
      <c r="E549" s="6">
        <v>28634.15</v>
      </c>
    </row>
    <row r="550" spans="1:5" x14ac:dyDescent="0.25">
      <c r="A550" t="str">
        <f>"090209"</f>
        <v>090209</v>
      </c>
      <c r="B550" t="s">
        <v>441</v>
      </c>
      <c r="C550">
        <v>603</v>
      </c>
      <c r="D550" s="6">
        <v>257745.85</v>
      </c>
      <c r="E550" s="6">
        <v>85056.13</v>
      </c>
    </row>
    <row r="551" spans="1:5" x14ac:dyDescent="0.25">
      <c r="A551" t="str">
        <f>"090233"</f>
        <v>090233</v>
      </c>
      <c r="B551" t="s">
        <v>442</v>
      </c>
      <c r="C551">
        <v>303</v>
      </c>
      <c r="D551" s="6">
        <v>118713.93</v>
      </c>
      <c r="E551" s="6">
        <v>39175.599999999999</v>
      </c>
    </row>
    <row r="552" spans="1:5" x14ac:dyDescent="0.25">
      <c r="A552" t="str">
        <f>"090274"</f>
        <v>090274</v>
      </c>
      <c r="B552" t="s">
        <v>443</v>
      </c>
      <c r="C552">
        <v>471</v>
      </c>
      <c r="D552" s="6">
        <v>199978.2</v>
      </c>
      <c r="E552" s="6">
        <v>65992.81</v>
      </c>
    </row>
    <row r="553" spans="1:5" x14ac:dyDescent="0.25">
      <c r="A553" t="str">
        <f>"090290"</f>
        <v>090290</v>
      </c>
      <c r="B553" t="s">
        <v>444</v>
      </c>
      <c r="C553">
        <v>281</v>
      </c>
      <c r="D553" s="6">
        <v>120110.42</v>
      </c>
      <c r="E553" s="6">
        <v>39636.44</v>
      </c>
    </row>
    <row r="554" spans="1:5" x14ac:dyDescent="0.25">
      <c r="A554" t="str">
        <f>"090456"</f>
        <v>090456</v>
      </c>
      <c r="B554" t="s">
        <v>445</v>
      </c>
      <c r="C554">
        <v>127</v>
      </c>
      <c r="D554" s="6">
        <v>54284.78</v>
      </c>
      <c r="E554" s="6">
        <v>17913.98</v>
      </c>
    </row>
    <row r="555" spans="1:5" x14ac:dyDescent="0.25">
      <c r="A555" t="str">
        <f>"090464"</f>
        <v>090464</v>
      </c>
      <c r="B555" t="s">
        <v>446</v>
      </c>
      <c r="C555">
        <v>158</v>
      </c>
      <c r="D555" s="6">
        <v>67535.399999999994</v>
      </c>
      <c r="E555" s="6">
        <v>22286.68</v>
      </c>
    </row>
    <row r="556" spans="1:5" x14ac:dyDescent="0.25">
      <c r="A556" t="str">
        <f>"090472"</f>
        <v>090472</v>
      </c>
      <c r="B556" t="s">
        <v>447</v>
      </c>
      <c r="C556">
        <v>134</v>
      </c>
      <c r="D556" s="6">
        <v>57276.86</v>
      </c>
      <c r="E556" s="6">
        <v>18901.36</v>
      </c>
    </row>
    <row r="557" spans="1:5" x14ac:dyDescent="0.25">
      <c r="A557" t="str">
        <f>"090746"</f>
        <v>090746</v>
      </c>
      <c r="B557" t="s">
        <v>448</v>
      </c>
      <c r="C557">
        <v>112</v>
      </c>
      <c r="D557" s="6">
        <v>47873.19</v>
      </c>
      <c r="E557" s="6">
        <v>15798.15</v>
      </c>
    </row>
    <row r="558" spans="1:5" x14ac:dyDescent="0.25">
      <c r="A558" t="str">
        <f>"091314"</f>
        <v>091314</v>
      </c>
      <c r="B558" t="s">
        <v>449</v>
      </c>
      <c r="C558">
        <v>27</v>
      </c>
      <c r="D558" s="6">
        <v>11540.86</v>
      </c>
      <c r="E558" s="6">
        <v>3808.48</v>
      </c>
    </row>
    <row r="559" spans="1:5" x14ac:dyDescent="0.25">
      <c r="A559" t="str">
        <f>"091777"</f>
        <v>091777</v>
      </c>
      <c r="B559" t="s">
        <v>450</v>
      </c>
      <c r="C559">
        <v>202</v>
      </c>
      <c r="D559" s="6">
        <v>86342.720000000001</v>
      </c>
      <c r="E559" s="6">
        <v>28493.1</v>
      </c>
    </row>
    <row r="560" spans="1:5" x14ac:dyDescent="0.25">
      <c r="A560" t="str">
        <f>"092247"</f>
        <v>092247</v>
      </c>
      <c r="B560" t="s">
        <v>451</v>
      </c>
      <c r="C560">
        <v>100</v>
      </c>
      <c r="D560" s="6">
        <v>42743.92</v>
      </c>
      <c r="E560" s="6">
        <v>14105.49</v>
      </c>
    </row>
    <row r="561" spans="1:5" x14ac:dyDescent="0.25">
      <c r="A561" t="str">
        <f>"093021"</f>
        <v>093021</v>
      </c>
      <c r="B561" t="s">
        <v>452</v>
      </c>
      <c r="C561">
        <v>45</v>
      </c>
      <c r="D561" s="6">
        <v>19234.759999999998</v>
      </c>
      <c r="E561" s="6">
        <v>6347.47</v>
      </c>
    </row>
    <row r="562" spans="1:5" x14ac:dyDescent="0.25">
      <c r="A562" t="str">
        <f>"093039"</f>
        <v>093039</v>
      </c>
      <c r="B562" t="s">
        <v>453</v>
      </c>
      <c r="C562">
        <v>98</v>
      </c>
      <c r="D562" s="6">
        <v>41889.040000000001</v>
      </c>
      <c r="E562" s="6">
        <v>13823.38</v>
      </c>
    </row>
    <row r="563" spans="1:5" x14ac:dyDescent="0.25">
      <c r="A563" t="str">
        <f>"093757"</f>
        <v>093757</v>
      </c>
      <c r="B563" t="s">
        <v>454</v>
      </c>
      <c r="C563">
        <v>384</v>
      </c>
      <c r="D563" s="6">
        <v>164136.66</v>
      </c>
      <c r="E563" s="6">
        <v>54165.1</v>
      </c>
    </row>
    <row r="564" spans="1:5" x14ac:dyDescent="0.25">
      <c r="A564" t="str">
        <f>"093864"</f>
        <v>093864</v>
      </c>
      <c r="B564" t="s">
        <v>455</v>
      </c>
      <c r="C564">
        <v>12</v>
      </c>
      <c r="D564" s="6">
        <v>5129.2700000000004</v>
      </c>
      <c r="E564" s="6">
        <v>1692.66</v>
      </c>
    </row>
    <row r="565" spans="1:5" x14ac:dyDescent="0.25">
      <c r="A565" t="str">
        <f>"094250"</f>
        <v>094250</v>
      </c>
      <c r="B565" t="s">
        <v>456</v>
      </c>
      <c r="C565">
        <v>112</v>
      </c>
      <c r="D565" s="6">
        <v>47873.19</v>
      </c>
      <c r="E565" s="6">
        <v>15798.15</v>
      </c>
    </row>
    <row r="566" spans="1:5" x14ac:dyDescent="0.25">
      <c r="A566" t="str">
        <f>"094268"</f>
        <v>094268</v>
      </c>
      <c r="B566" t="s">
        <v>82</v>
      </c>
      <c r="C566">
        <v>115</v>
      </c>
      <c r="D566" s="6">
        <v>49155.51</v>
      </c>
      <c r="E566" s="6">
        <v>16221.32</v>
      </c>
    </row>
    <row r="567" spans="1:5" x14ac:dyDescent="0.25">
      <c r="A567" t="str">
        <f>"094490"</f>
        <v>094490</v>
      </c>
      <c r="B567" t="s">
        <v>457</v>
      </c>
      <c r="C567">
        <v>79</v>
      </c>
      <c r="D567" s="6">
        <v>33767.699999999997</v>
      </c>
      <c r="E567" s="6">
        <v>11143.34</v>
      </c>
    </row>
    <row r="568" spans="1:5" x14ac:dyDescent="0.25">
      <c r="A568" t="str">
        <f>"094565"</f>
        <v>094565</v>
      </c>
      <c r="B568" t="s">
        <v>458</v>
      </c>
      <c r="C568">
        <v>108</v>
      </c>
      <c r="D568" s="6">
        <v>46163.44</v>
      </c>
      <c r="E568" s="6">
        <v>15233.94</v>
      </c>
    </row>
    <row r="569" spans="1:5" x14ac:dyDescent="0.25">
      <c r="A569" t="str">
        <f>"094946"</f>
        <v>094946</v>
      </c>
      <c r="B569" t="s">
        <v>459</v>
      </c>
      <c r="C569">
        <v>35</v>
      </c>
      <c r="D569" s="6">
        <v>14960.37</v>
      </c>
      <c r="E569" s="6">
        <v>4936.92</v>
      </c>
    </row>
    <row r="570" spans="1:5" x14ac:dyDescent="0.25">
      <c r="A570" t="str">
        <f>"095158"</f>
        <v>095158</v>
      </c>
      <c r="B570" t="s">
        <v>460</v>
      </c>
      <c r="C570">
        <v>59</v>
      </c>
      <c r="D570" s="6">
        <v>25218.91</v>
      </c>
      <c r="E570" s="6">
        <v>8322.24</v>
      </c>
    </row>
    <row r="571" spans="1:5" x14ac:dyDescent="0.25">
      <c r="A571" t="str">
        <f>"095166"</f>
        <v>095166</v>
      </c>
      <c r="B571" t="s">
        <v>461</v>
      </c>
      <c r="C571">
        <v>170</v>
      </c>
      <c r="D571" s="6">
        <v>72664.67</v>
      </c>
      <c r="E571" s="6">
        <v>23979.34</v>
      </c>
    </row>
    <row r="572" spans="1:5" x14ac:dyDescent="0.25">
      <c r="A572" t="str">
        <f>"095364"</f>
        <v>095364</v>
      </c>
      <c r="B572" t="s">
        <v>462</v>
      </c>
      <c r="C572">
        <v>91</v>
      </c>
      <c r="D572" s="6">
        <v>38896.97</v>
      </c>
      <c r="E572" s="6">
        <v>12836</v>
      </c>
    </row>
    <row r="573" spans="1:5" x14ac:dyDescent="0.25">
      <c r="A573" t="str">
        <f>"095711"</f>
        <v>095711</v>
      </c>
      <c r="B573" t="s">
        <v>463</v>
      </c>
      <c r="C573">
        <v>142</v>
      </c>
      <c r="D573" s="6">
        <v>60696.37</v>
      </c>
      <c r="E573" s="6">
        <v>20029.8</v>
      </c>
    </row>
    <row r="574" spans="1:5" x14ac:dyDescent="0.25">
      <c r="A574" t="str">
        <f>"096156"</f>
        <v>096156</v>
      </c>
      <c r="B574" t="s">
        <v>464</v>
      </c>
      <c r="C574">
        <v>15</v>
      </c>
      <c r="D574" s="6">
        <v>6411.59</v>
      </c>
      <c r="E574" s="6">
        <v>2115.8200000000002</v>
      </c>
    </row>
    <row r="575" spans="1:5" x14ac:dyDescent="0.25">
      <c r="A575" t="str">
        <f>"096164"</f>
        <v>096164</v>
      </c>
      <c r="B575" t="s">
        <v>465</v>
      </c>
      <c r="C575">
        <v>26</v>
      </c>
      <c r="D575" s="6">
        <v>5079.04</v>
      </c>
      <c r="E575" s="6">
        <v>1676.08</v>
      </c>
    </row>
    <row r="576" spans="1:5" x14ac:dyDescent="0.25">
      <c r="A576" t="str">
        <f>"096172"</f>
        <v>096172</v>
      </c>
      <c r="B576" t="s">
        <v>466</v>
      </c>
      <c r="C576">
        <v>19</v>
      </c>
      <c r="D576" s="6">
        <v>8121.35</v>
      </c>
      <c r="E576" s="6">
        <v>2680.05</v>
      </c>
    </row>
    <row r="577" spans="1:5" x14ac:dyDescent="0.25">
      <c r="A577" t="str">
        <f>"096263"</f>
        <v>096263</v>
      </c>
      <c r="B577" t="s">
        <v>467</v>
      </c>
      <c r="C577">
        <v>11</v>
      </c>
      <c r="D577" s="6">
        <v>4701.83</v>
      </c>
      <c r="E577" s="6">
        <v>1551.6</v>
      </c>
    </row>
    <row r="578" spans="1:5" x14ac:dyDescent="0.25">
      <c r="A578" t="str">
        <f>"096289"</f>
        <v>096289</v>
      </c>
      <c r="B578" t="s">
        <v>468</v>
      </c>
      <c r="C578">
        <v>27</v>
      </c>
      <c r="D578" s="6">
        <v>8939.81</v>
      </c>
      <c r="E578" s="6">
        <v>2950.14</v>
      </c>
    </row>
    <row r="579" spans="1:5" x14ac:dyDescent="0.25">
      <c r="A579" t="str">
        <f>"096297"</f>
        <v>096297</v>
      </c>
      <c r="B579" t="s">
        <v>469</v>
      </c>
      <c r="C579">
        <v>582</v>
      </c>
      <c r="D579" s="6">
        <v>248769.63</v>
      </c>
      <c r="E579" s="6">
        <v>82093.98</v>
      </c>
    </row>
    <row r="580" spans="1:5" x14ac:dyDescent="0.25">
      <c r="A580" t="str">
        <f>"096347"</f>
        <v>096347</v>
      </c>
      <c r="B580" t="s">
        <v>470</v>
      </c>
      <c r="C580">
        <v>81</v>
      </c>
      <c r="D580" s="6">
        <v>34622.58</v>
      </c>
      <c r="E580" s="6">
        <v>11425.45</v>
      </c>
    </row>
    <row r="581" spans="1:5" x14ac:dyDescent="0.25">
      <c r="A581" t="str">
        <f>"096693"</f>
        <v>096693</v>
      </c>
      <c r="B581" t="s">
        <v>471</v>
      </c>
      <c r="C581">
        <v>139</v>
      </c>
      <c r="D581" s="6">
        <v>59414.05</v>
      </c>
      <c r="E581" s="6">
        <v>19606.64</v>
      </c>
    </row>
    <row r="582" spans="1:5" x14ac:dyDescent="0.25">
      <c r="A582" t="str">
        <f>"096719"</f>
        <v>096719</v>
      </c>
      <c r="B582" t="s">
        <v>472</v>
      </c>
      <c r="C582">
        <v>587</v>
      </c>
      <c r="D582" s="6">
        <v>250906.82</v>
      </c>
      <c r="E582" s="6">
        <v>82799.25</v>
      </c>
    </row>
    <row r="583" spans="1:5" x14ac:dyDescent="0.25">
      <c r="A583" t="str">
        <f>"096909"</f>
        <v>096909</v>
      </c>
      <c r="B583" t="s">
        <v>473</v>
      </c>
      <c r="C583">
        <v>70</v>
      </c>
      <c r="D583" s="6">
        <v>29920.75</v>
      </c>
      <c r="E583" s="6">
        <v>9873.85</v>
      </c>
    </row>
    <row r="584" spans="1:5" x14ac:dyDescent="0.25">
      <c r="A584" t="str">
        <f>"096966"</f>
        <v>096966</v>
      </c>
      <c r="B584" t="s">
        <v>474</v>
      </c>
      <c r="C584">
        <v>180</v>
      </c>
      <c r="D584" s="6">
        <v>76820.19</v>
      </c>
      <c r="E584" s="6">
        <v>25350.66</v>
      </c>
    </row>
    <row r="585" spans="1:5" x14ac:dyDescent="0.25">
      <c r="A585" t="str">
        <f>"096974"</f>
        <v>096974</v>
      </c>
      <c r="B585" t="s">
        <v>475</v>
      </c>
      <c r="C585">
        <v>6</v>
      </c>
      <c r="D585" s="6">
        <v>2564.64</v>
      </c>
      <c r="E585" s="6">
        <v>846.33</v>
      </c>
    </row>
    <row r="586" spans="1:5" x14ac:dyDescent="0.25">
      <c r="A586" t="str">
        <f>"097279"</f>
        <v>097279</v>
      </c>
      <c r="B586" t="s">
        <v>476</v>
      </c>
      <c r="C586">
        <v>124</v>
      </c>
      <c r="D586" s="6">
        <v>53002.46</v>
      </c>
      <c r="E586" s="6">
        <v>17490.810000000001</v>
      </c>
    </row>
    <row r="587" spans="1:5" x14ac:dyDescent="0.25">
      <c r="A587" t="str">
        <f>"097527"</f>
        <v>097527</v>
      </c>
      <c r="B587" t="s">
        <v>477</v>
      </c>
      <c r="C587">
        <v>15</v>
      </c>
      <c r="D587" s="6">
        <v>6411.59</v>
      </c>
      <c r="E587" s="6">
        <v>2115.8200000000002</v>
      </c>
    </row>
    <row r="588" spans="1:5" x14ac:dyDescent="0.25">
      <c r="A588" t="str">
        <f>"097683"</f>
        <v>097683</v>
      </c>
      <c r="B588" t="s">
        <v>478</v>
      </c>
      <c r="C588">
        <v>211</v>
      </c>
      <c r="D588" s="6">
        <v>90189.68</v>
      </c>
      <c r="E588" s="6">
        <v>29762.59</v>
      </c>
    </row>
    <row r="589" spans="1:5" x14ac:dyDescent="0.25">
      <c r="A589" t="str">
        <f>"097923"</f>
        <v>097923</v>
      </c>
      <c r="B589" t="s">
        <v>479</v>
      </c>
      <c r="C589">
        <v>380</v>
      </c>
      <c r="D589" s="6">
        <v>162426.9</v>
      </c>
      <c r="E589" s="6">
        <v>53600.88</v>
      </c>
    </row>
    <row r="590" spans="1:5" x14ac:dyDescent="0.25">
      <c r="A590" t="str">
        <f>"097931"</f>
        <v>097931</v>
      </c>
      <c r="B590" t="s">
        <v>480</v>
      </c>
      <c r="C590">
        <v>127</v>
      </c>
      <c r="D590" s="6">
        <v>54284.78</v>
      </c>
      <c r="E590" s="6">
        <v>17913.98</v>
      </c>
    </row>
    <row r="591" spans="1:5" x14ac:dyDescent="0.25">
      <c r="A591" t="str">
        <f>"098525"</f>
        <v>098525</v>
      </c>
      <c r="B591" t="s">
        <v>457</v>
      </c>
      <c r="C591">
        <v>36</v>
      </c>
      <c r="D591" s="6">
        <v>15387.81</v>
      </c>
      <c r="E591" s="6">
        <v>5077.9799999999996</v>
      </c>
    </row>
    <row r="592" spans="1:5" x14ac:dyDescent="0.25">
      <c r="A592" t="str">
        <f>"110031"</f>
        <v>110031</v>
      </c>
      <c r="B592" t="s">
        <v>481</v>
      </c>
      <c r="C592">
        <v>121</v>
      </c>
      <c r="D592" s="6">
        <v>51720.15</v>
      </c>
      <c r="E592" s="6">
        <v>17067.650000000001</v>
      </c>
    </row>
    <row r="593" spans="1:5" x14ac:dyDescent="0.25">
      <c r="A593" t="str">
        <f>"110403"</f>
        <v>110403</v>
      </c>
      <c r="B593" t="s">
        <v>482</v>
      </c>
      <c r="C593">
        <v>52</v>
      </c>
      <c r="D593" s="6">
        <v>22226.84</v>
      </c>
      <c r="E593" s="6">
        <v>7334.86</v>
      </c>
    </row>
    <row r="594" spans="1:5" x14ac:dyDescent="0.25">
      <c r="A594" t="str">
        <f>"110411"</f>
        <v>110411</v>
      </c>
      <c r="B594" t="s">
        <v>483</v>
      </c>
      <c r="C594">
        <v>148</v>
      </c>
      <c r="D594" s="6">
        <v>62387.88</v>
      </c>
      <c r="E594" s="6">
        <v>20588</v>
      </c>
    </row>
    <row r="595" spans="1:5" x14ac:dyDescent="0.25">
      <c r="A595" t="str">
        <f>"110619"</f>
        <v>110619</v>
      </c>
      <c r="B595" t="s">
        <v>484</v>
      </c>
      <c r="C595">
        <v>39</v>
      </c>
      <c r="D595" s="6">
        <v>16670.13</v>
      </c>
      <c r="E595" s="6">
        <v>5501.14</v>
      </c>
    </row>
    <row r="596" spans="1:5" x14ac:dyDescent="0.25">
      <c r="A596" t="str">
        <f>"110684"</f>
        <v>110684</v>
      </c>
      <c r="B596" t="s">
        <v>485</v>
      </c>
      <c r="C596">
        <v>26</v>
      </c>
      <c r="D596" s="6">
        <v>11113.42</v>
      </c>
      <c r="E596" s="6">
        <v>3667.43</v>
      </c>
    </row>
    <row r="597" spans="1:5" x14ac:dyDescent="0.25">
      <c r="A597" t="str">
        <f>"110692"</f>
        <v>110692</v>
      </c>
      <c r="B597" t="s">
        <v>486</v>
      </c>
      <c r="C597">
        <v>55</v>
      </c>
      <c r="D597" s="6">
        <v>23509.16</v>
      </c>
      <c r="E597" s="6">
        <v>7758.02</v>
      </c>
    </row>
    <row r="598" spans="1:5" x14ac:dyDescent="0.25">
      <c r="A598" t="str">
        <f>"111898"</f>
        <v>111898</v>
      </c>
      <c r="B598" t="s">
        <v>487</v>
      </c>
      <c r="C598">
        <v>409</v>
      </c>
      <c r="D598" s="6">
        <v>174822.64</v>
      </c>
      <c r="E598" s="6">
        <v>57691.47</v>
      </c>
    </row>
    <row r="599" spans="1:5" x14ac:dyDescent="0.25">
      <c r="A599" t="str">
        <f>"112110"</f>
        <v>112110</v>
      </c>
      <c r="B599" t="s">
        <v>488</v>
      </c>
      <c r="C599">
        <v>147</v>
      </c>
      <c r="D599" s="6">
        <v>62833.57</v>
      </c>
      <c r="E599" s="6">
        <v>20735.080000000002</v>
      </c>
    </row>
    <row r="600" spans="1:5" x14ac:dyDescent="0.25">
      <c r="A600" t="str">
        <f>"112227"</f>
        <v>112227</v>
      </c>
      <c r="B600" t="s">
        <v>489</v>
      </c>
      <c r="C600">
        <v>618</v>
      </c>
      <c r="D600" s="6">
        <v>264157.44</v>
      </c>
      <c r="E600" s="6">
        <v>87171.96</v>
      </c>
    </row>
    <row r="601" spans="1:5" x14ac:dyDescent="0.25">
      <c r="A601" t="str">
        <f>"112490"</f>
        <v>112490</v>
      </c>
      <c r="B601" t="s">
        <v>490</v>
      </c>
      <c r="C601">
        <v>132</v>
      </c>
      <c r="D601" s="6">
        <v>56421.98</v>
      </c>
      <c r="E601" s="6">
        <v>18619.25</v>
      </c>
    </row>
    <row r="602" spans="1:5" x14ac:dyDescent="0.25">
      <c r="A602" t="str">
        <f>"112508"</f>
        <v>112508</v>
      </c>
      <c r="B602" t="s">
        <v>491</v>
      </c>
      <c r="C602">
        <v>85</v>
      </c>
      <c r="D602" s="6">
        <v>36332.33</v>
      </c>
      <c r="E602" s="6">
        <v>11989.67</v>
      </c>
    </row>
    <row r="603" spans="1:5" x14ac:dyDescent="0.25">
      <c r="A603" t="str">
        <f>"112516"</f>
        <v>112516</v>
      </c>
      <c r="B603" t="s">
        <v>492</v>
      </c>
      <c r="C603">
        <v>17</v>
      </c>
      <c r="D603" s="6">
        <v>7266.47</v>
      </c>
      <c r="E603" s="6">
        <v>2397.94</v>
      </c>
    </row>
    <row r="604" spans="1:5" x14ac:dyDescent="0.25">
      <c r="A604" t="str">
        <f>"112680"</f>
        <v>112680</v>
      </c>
      <c r="B604" t="s">
        <v>493</v>
      </c>
      <c r="C604">
        <v>4</v>
      </c>
      <c r="D604" s="6">
        <v>1709.76</v>
      </c>
      <c r="E604" s="6">
        <v>564.22</v>
      </c>
    </row>
    <row r="605" spans="1:5" x14ac:dyDescent="0.25">
      <c r="A605" t="str">
        <f>"113050"</f>
        <v>113050</v>
      </c>
      <c r="B605" t="s">
        <v>494</v>
      </c>
      <c r="C605">
        <v>103</v>
      </c>
      <c r="D605" s="6">
        <v>44026.239999999998</v>
      </c>
      <c r="E605" s="6">
        <v>14528.66</v>
      </c>
    </row>
    <row r="606" spans="1:5" x14ac:dyDescent="0.25">
      <c r="A606" t="str">
        <f>"113522"</f>
        <v>113522</v>
      </c>
      <c r="B606" t="s">
        <v>495</v>
      </c>
      <c r="C606">
        <v>139</v>
      </c>
      <c r="D606" s="6">
        <v>59414.05</v>
      </c>
      <c r="E606" s="6">
        <v>19606.64</v>
      </c>
    </row>
    <row r="607" spans="1:5" x14ac:dyDescent="0.25">
      <c r="A607" t="str">
        <f>"114751"</f>
        <v>114751</v>
      </c>
      <c r="B607" t="s">
        <v>496</v>
      </c>
      <c r="C607">
        <v>20</v>
      </c>
      <c r="D607" s="6">
        <v>8548.7800000000007</v>
      </c>
      <c r="E607" s="6">
        <v>2821.1</v>
      </c>
    </row>
    <row r="608" spans="1:5" x14ac:dyDescent="0.25">
      <c r="A608" t="str">
        <f>"114777"</f>
        <v>114777</v>
      </c>
      <c r="B608" t="s">
        <v>497</v>
      </c>
      <c r="C608">
        <v>15</v>
      </c>
      <c r="D608" s="6">
        <v>6411.59</v>
      </c>
      <c r="E608" s="6">
        <v>2115.8200000000002</v>
      </c>
    </row>
    <row r="609" spans="1:5" x14ac:dyDescent="0.25">
      <c r="A609" t="str">
        <f>"114785"</f>
        <v>114785</v>
      </c>
      <c r="B609" t="s">
        <v>498</v>
      </c>
      <c r="C609">
        <v>7</v>
      </c>
      <c r="D609" s="6">
        <v>2992.07</v>
      </c>
      <c r="E609" s="6">
        <v>987.38</v>
      </c>
    </row>
    <row r="610" spans="1:5" x14ac:dyDescent="0.25">
      <c r="A610" t="str">
        <f>"115535"</f>
        <v>115535</v>
      </c>
      <c r="B610" t="s">
        <v>499</v>
      </c>
      <c r="C610">
        <v>178</v>
      </c>
      <c r="D610" s="6">
        <v>75511.259999999995</v>
      </c>
      <c r="E610" s="6">
        <v>24918.720000000001</v>
      </c>
    </row>
    <row r="611" spans="1:5" x14ac:dyDescent="0.25">
      <c r="A611" t="str">
        <f>"116616"</f>
        <v>116616</v>
      </c>
      <c r="B611" t="s">
        <v>500</v>
      </c>
      <c r="C611">
        <v>5</v>
      </c>
      <c r="D611" s="6">
        <v>2137.1999999999998</v>
      </c>
      <c r="E611" s="6">
        <v>705.28</v>
      </c>
    </row>
    <row r="612" spans="1:5" x14ac:dyDescent="0.25">
      <c r="A612" t="str">
        <f>"116624"</f>
        <v>116624</v>
      </c>
      <c r="B612" t="s">
        <v>501</v>
      </c>
      <c r="C612">
        <v>12</v>
      </c>
      <c r="D612" s="6">
        <v>5129.2700000000004</v>
      </c>
      <c r="E612" s="6">
        <v>1692.66</v>
      </c>
    </row>
    <row r="613" spans="1:5" x14ac:dyDescent="0.25">
      <c r="A613" t="str">
        <f>"118216"</f>
        <v>118216</v>
      </c>
      <c r="B613" t="s">
        <v>502</v>
      </c>
      <c r="C613">
        <v>216</v>
      </c>
      <c r="D613" s="6">
        <v>92326.87</v>
      </c>
      <c r="E613" s="6">
        <v>30467.87</v>
      </c>
    </row>
    <row r="614" spans="1:5" x14ac:dyDescent="0.25">
      <c r="A614" t="str">
        <f>"119313"</f>
        <v>119313</v>
      </c>
      <c r="B614" t="s">
        <v>503</v>
      </c>
      <c r="C614">
        <v>54</v>
      </c>
      <c r="D614" s="6">
        <v>20803.14</v>
      </c>
      <c r="E614" s="6">
        <v>6865.04</v>
      </c>
    </row>
    <row r="615" spans="1:5" x14ac:dyDescent="0.25">
      <c r="A615" t="str">
        <f>"119339"</f>
        <v>119339</v>
      </c>
      <c r="B615" t="s">
        <v>504</v>
      </c>
      <c r="C615">
        <v>12</v>
      </c>
      <c r="D615" s="6">
        <v>5129.2700000000004</v>
      </c>
      <c r="E615" s="6">
        <v>1692.66</v>
      </c>
    </row>
    <row r="616" spans="1:5" x14ac:dyDescent="0.25">
      <c r="A616" t="str">
        <f>"119917"</f>
        <v>119917</v>
      </c>
      <c r="B616" t="s">
        <v>505</v>
      </c>
      <c r="C616">
        <v>4</v>
      </c>
      <c r="D616" s="6">
        <v>1709.76</v>
      </c>
      <c r="E616" s="6">
        <v>564.22</v>
      </c>
    </row>
    <row r="617" spans="1:5" x14ac:dyDescent="0.25">
      <c r="A617" t="str">
        <f>"119990"</f>
        <v>119990</v>
      </c>
      <c r="B617" t="s">
        <v>506</v>
      </c>
      <c r="C617">
        <v>59</v>
      </c>
      <c r="D617" s="6">
        <v>25218.91</v>
      </c>
      <c r="E617" s="6">
        <v>8322.24</v>
      </c>
    </row>
    <row r="618" spans="1:5" x14ac:dyDescent="0.25">
      <c r="A618" t="str">
        <f>"120675"</f>
        <v>120675</v>
      </c>
      <c r="B618" t="s">
        <v>507</v>
      </c>
      <c r="C618">
        <v>71</v>
      </c>
      <c r="D618" s="6">
        <v>30348.18</v>
      </c>
      <c r="E618" s="6">
        <v>10014.9</v>
      </c>
    </row>
    <row r="619" spans="1:5" x14ac:dyDescent="0.25">
      <c r="A619" t="str">
        <f>"120865"</f>
        <v>120865</v>
      </c>
      <c r="B619" t="s">
        <v>508</v>
      </c>
      <c r="C619">
        <v>186</v>
      </c>
      <c r="D619" s="6">
        <v>79503.69</v>
      </c>
      <c r="E619" s="6">
        <v>26236.22</v>
      </c>
    </row>
    <row r="620" spans="1:5" x14ac:dyDescent="0.25">
      <c r="A620" t="str">
        <f>"121053"</f>
        <v>121053</v>
      </c>
      <c r="B620" t="s">
        <v>509</v>
      </c>
      <c r="C620">
        <v>17</v>
      </c>
      <c r="D620" s="6">
        <v>2551.42</v>
      </c>
      <c r="E620" s="6">
        <v>841.97</v>
      </c>
    </row>
    <row r="621" spans="1:5" x14ac:dyDescent="0.25">
      <c r="A621" t="str">
        <f>"121277"</f>
        <v>121277</v>
      </c>
      <c r="B621" t="s">
        <v>510</v>
      </c>
      <c r="C621">
        <v>23</v>
      </c>
      <c r="D621" s="6">
        <v>9831.1</v>
      </c>
      <c r="E621" s="6">
        <v>3244.26</v>
      </c>
    </row>
    <row r="622" spans="1:5" x14ac:dyDescent="0.25">
      <c r="A622" t="str">
        <f>"121491"</f>
        <v>121491</v>
      </c>
      <c r="B622" t="s">
        <v>511</v>
      </c>
      <c r="C622">
        <v>36</v>
      </c>
      <c r="D622" s="6">
        <v>15387.81</v>
      </c>
      <c r="E622" s="6">
        <v>5077.9799999999996</v>
      </c>
    </row>
    <row r="623" spans="1:5" x14ac:dyDescent="0.25">
      <c r="A623" t="str">
        <f>"122457"</f>
        <v>122457</v>
      </c>
      <c r="B623" t="s">
        <v>512</v>
      </c>
      <c r="C623">
        <v>254</v>
      </c>
      <c r="D623" s="6">
        <v>108569.56</v>
      </c>
      <c r="E623" s="6">
        <v>35827.949999999997</v>
      </c>
    </row>
    <row r="624" spans="1:5" x14ac:dyDescent="0.25">
      <c r="A624" t="str">
        <f>"122465"</f>
        <v>122465</v>
      </c>
      <c r="B624" t="s">
        <v>513</v>
      </c>
      <c r="C624">
        <v>37</v>
      </c>
      <c r="D624" s="6">
        <v>15815.25</v>
      </c>
      <c r="E624" s="6">
        <v>5219.03</v>
      </c>
    </row>
    <row r="625" spans="1:5" x14ac:dyDescent="0.25">
      <c r="A625" t="str">
        <f>"122473"</f>
        <v>122473</v>
      </c>
      <c r="B625" t="s">
        <v>514</v>
      </c>
      <c r="C625">
        <v>120</v>
      </c>
      <c r="D625" s="6">
        <v>51292.71</v>
      </c>
      <c r="E625" s="6">
        <v>16926.59</v>
      </c>
    </row>
    <row r="626" spans="1:5" x14ac:dyDescent="0.25">
      <c r="A626" t="str">
        <f>"122481"</f>
        <v>122481</v>
      </c>
      <c r="B626" t="s">
        <v>515</v>
      </c>
      <c r="C626">
        <v>9</v>
      </c>
      <c r="D626" s="6">
        <v>3846.95</v>
      </c>
      <c r="E626" s="6">
        <v>1269.49</v>
      </c>
    </row>
    <row r="627" spans="1:5" x14ac:dyDescent="0.25">
      <c r="A627" t="str">
        <f>"122697"</f>
        <v>122697</v>
      </c>
      <c r="B627" t="s">
        <v>487</v>
      </c>
      <c r="C627">
        <v>396</v>
      </c>
      <c r="D627" s="6">
        <v>169265.93</v>
      </c>
      <c r="E627" s="6">
        <v>55857.760000000002</v>
      </c>
    </row>
    <row r="628" spans="1:5" x14ac:dyDescent="0.25">
      <c r="A628" t="str">
        <f>"122879"</f>
        <v>122879</v>
      </c>
      <c r="B628" t="s">
        <v>516</v>
      </c>
      <c r="C628">
        <v>20</v>
      </c>
      <c r="D628" s="6">
        <v>8548.7800000000007</v>
      </c>
      <c r="E628" s="6">
        <v>2821.1</v>
      </c>
    </row>
    <row r="629" spans="1:5" x14ac:dyDescent="0.25">
      <c r="A629" t="str">
        <f>"123109"</f>
        <v>123109</v>
      </c>
      <c r="B629" t="s">
        <v>517</v>
      </c>
      <c r="C629">
        <v>119</v>
      </c>
      <c r="D629" s="6">
        <v>50865.27</v>
      </c>
      <c r="E629" s="6">
        <v>16785.54</v>
      </c>
    </row>
    <row r="630" spans="1:5" x14ac:dyDescent="0.25">
      <c r="A630" t="str">
        <f>"123356"</f>
        <v>123356</v>
      </c>
      <c r="B630" t="s">
        <v>518</v>
      </c>
      <c r="C630">
        <v>81</v>
      </c>
      <c r="D630" s="6">
        <v>34622.58</v>
      </c>
      <c r="E630" s="6">
        <v>11425.45</v>
      </c>
    </row>
    <row r="631" spans="1:5" x14ac:dyDescent="0.25">
      <c r="A631" t="str">
        <f>"123950"</f>
        <v>123950</v>
      </c>
      <c r="B631" t="s">
        <v>519</v>
      </c>
      <c r="C631">
        <v>342</v>
      </c>
      <c r="D631" s="6">
        <v>146184.21</v>
      </c>
      <c r="E631" s="6">
        <v>48240.79</v>
      </c>
    </row>
    <row r="632" spans="1:5" x14ac:dyDescent="0.25">
      <c r="A632" t="str">
        <f>"124883"</f>
        <v>124883</v>
      </c>
      <c r="B632" t="s">
        <v>520</v>
      </c>
      <c r="C632">
        <v>545</v>
      </c>
      <c r="D632" s="6">
        <v>232954.37</v>
      </c>
      <c r="E632" s="6">
        <v>76874.94</v>
      </c>
    </row>
    <row r="633" spans="1:5" x14ac:dyDescent="0.25">
      <c r="A633" t="str">
        <f>"125013"</f>
        <v>125013</v>
      </c>
      <c r="B633" t="s">
        <v>521</v>
      </c>
      <c r="C633">
        <v>21</v>
      </c>
      <c r="D633" s="6">
        <v>8976.2199999999993</v>
      </c>
      <c r="E633" s="6">
        <v>2962.15</v>
      </c>
    </row>
    <row r="634" spans="1:5" x14ac:dyDescent="0.25">
      <c r="A634" t="str">
        <f>"125260"</f>
        <v>125260</v>
      </c>
      <c r="B634" t="s">
        <v>522</v>
      </c>
      <c r="C634">
        <v>47</v>
      </c>
      <c r="D634" s="6">
        <v>20089.64</v>
      </c>
      <c r="E634" s="6">
        <v>6629.58</v>
      </c>
    </row>
    <row r="635" spans="1:5" x14ac:dyDescent="0.25">
      <c r="A635" t="str">
        <f>"125278"</f>
        <v>125278</v>
      </c>
      <c r="B635" t="s">
        <v>523</v>
      </c>
      <c r="C635">
        <v>304</v>
      </c>
      <c r="D635" s="6">
        <v>127809.55</v>
      </c>
      <c r="E635" s="6">
        <v>42177.15</v>
      </c>
    </row>
    <row r="636" spans="1:5" x14ac:dyDescent="0.25">
      <c r="A636" t="str">
        <f>"125310"</f>
        <v>125310</v>
      </c>
      <c r="B636" t="s">
        <v>524</v>
      </c>
      <c r="C636">
        <v>346</v>
      </c>
      <c r="D636" s="6">
        <v>147893.97</v>
      </c>
      <c r="E636" s="6">
        <v>48805.01</v>
      </c>
    </row>
    <row r="637" spans="1:5" x14ac:dyDescent="0.25">
      <c r="A637" t="str">
        <f>"125997"</f>
        <v>125997</v>
      </c>
      <c r="B637" t="s">
        <v>525</v>
      </c>
      <c r="C637">
        <v>16</v>
      </c>
      <c r="D637" s="6">
        <v>6839.03</v>
      </c>
      <c r="E637" s="6">
        <v>2256.88</v>
      </c>
    </row>
    <row r="638" spans="1:5" x14ac:dyDescent="0.25">
      <c r="A638" t="str">
        <f>"126144"</f>
        <v>126144</v>
      </c>
      <c r="B638" t="s">
        <v>526</v>
      </c>
      <c r="C638">
        <v>256</v>
      </c>
      <c r="D638" s="6">
        <v>109424.44</v>
      </c>
      <c r="E638" s="6">
        <v>36110.07</v>
      </c>
    </row>
    <row r="639" spans="1:5" x14ac:dyDescent="0.25">
      <c r="A639" t="str">
        <f>"126151"</f>
        <v>126151</v>
      </c>
      <c r="B639" t="s">
        <v>527</v>
      </c>
      <c r="C639">
        <v>16</v>
      </c>
      <c r="D639" s="6">
        <v>6549.6</v>
      </c>
      <c r="E639" s="6">
        <v>2161.37</v>
      </c>
    </row>
    <row r="640" spans="1:5" x14ac:dyDescent="0.25">
      <c r="A640" t="str">
        <f>"126417"</f>
        <v>126417</v>
      </c>
      <c r="B640" t="s">
        <v>528</v>
      </c>
      <c r="C640">
        <v>365</v>
      </c>
      <c r="D640" s="6">
        <v>156015.32</v>
      </c>
      <c r="E640" s="6">
        <v>51485.06</v>
      </c>
    </row>
    <row r="641" spans="1:5" x14ac:dyDescent="0.25">
      <c r="A641" t="str">
        <f>"126599"</f>
        <v>126599</v>
      </c>
      <c r="B641" t="s">
        <v>529</v>
      </c>
      <c r="C641">
        <v>423</v>
      </c>
      <c r="D641" s="6">
        <v>180806.79</v>
      </c>
      <c r="E641" s="6">
        <v>59666.239999999998</v>
      </c>
    </row>
    <row r="642" spans="1:5" x14ac:dyDescent="0.25">
      <c r="A642" t="str">
        <f>"126615"</f>
        <v>126615</v>
      </c>
      <c r="B642" t="s">
        <v>530</v>
      </c>
      <c r="C642">
        <v>730</v>
      </c>
      <c r="D642" s="6">
        <v>156015.32</v>
      </c>
      <c r="E642" s="6">
        <v>51485.06</v>
      </c>
    </row>
    <row r="643" spans="1:5" x14ac:dyDescent="0.25">
      <c r="A643" t="str">
        <f>"132282"</f>
        <v>132282</v>
      </c>
      <c r="B643" t="s">
        <v>531</v>
      </c>
      <c r="C643">
        <v>136</v>
      </c>
      <c r="D643" s="6">
        <v>58131.73</v>
      </c>
      <c r="E643" s="6">
        <v>19183.47</v>
      </c>
    </row>
    <row r="644" spans="1:5" x14ac:dyDescent="0.25">
      <c r="A644" t="str">
        <f>"132316"</f>
        <v>132316</v>
      </c>
      <c r="B644" t="s">
        <v>532</v>
      </c>
      <c r="C644">
        <v>58</v>
      </c>
      <c r="D644" s="6">
        <v>3114.75</v>
      </c>
      <c r="E644" s="6">
        <v>1027.8699999999999</v>
      </c>
    </row>
    <row r="645" spans="1:5" x14ac:dyDescent="0.25">
      <c r="A645" t="str">
        <f>"132365"</f>
        <v>132365</v>
      </c>
      <c r="B645" t="s">
        <v>533</v>
      </c>
      <c r="C645">
        <v>13</v>
      </c>
      <c r="D645" s="6">
        <v>5556.71</v>
      </c>
      <c r="E645" s="6">
        <v>1833.71</v>
      </c>
    </row>
    <row r="646" spans="1:5" x14ac:dyDescent="0.25">
      <c r="A646" t="str">
        <f>"132373"</f>
        <v>132373</v>
      </c>
      <c r="B646" t="s">
        <v>534</v>
      </c>
      <c r="C646">
        <v>114</v>
      </c>
      <c r="D646" s="6">
        <v>47613.51</v>
      </c>
      <c r="E646" s="6">
        <v>15712.46</v>
      </c>
    </row>
    <row r="647" spans="1:5" x14ac:dyDescent="0.25">
      <c r="A647" t="str">
        <f>"132399"</f>
        <v>132399</v>
      </c>
      <c r="B647" t="s">
        <v>535</v>
      </c>
      <c r="C647">
        <v>103</v>
      </c>
      <c r="D647" s="6">
        <v>44026.239999999998</v>
      </c>
      <c r="E647" s="6">
        <v>14528.66</v>
      </c>
    </row>
    <row r="648" spans="1:5" x14ac:dyDescent="0.25">
      <c r="A648" t="str">
        <f>"132456"</f>
        <v>132456</v>
      </c>
      <c r="B648" t="s">
        <v>536</v>
      </c>
      <c r="C648">
        <v>6</v>
      </c>
      <c r="D648" s="6">
        <v>2564.64</v>
      </c>
      <c r="E648" s="6">
        <v>846.33</v>
      </c>
    </row>
    <row r="649" spans="1:5" x14ac:dyDescent="0.25">
      <c r="A649" t="str">
        <f>"132498"</f>
        <v>132498</v>
      </c>
      <c r="B649" t="s">
        <v>537</v>
      </c>
      <c r="C649">
        <v>131</v>
      </c>
      <c r="D649" s="6">
        <v>55994.54</v>
      </c>
      <c r="E649" s="6">
        <v>18478.2</v>
      </c>
    </row>
    <row r="650" spans="1:5" x14ac:dyDescent="0.25">
      <c r="A650" t="str">
        <f>"132506"</f>
        <v>132506</v>
      </c>
      <c r="B650" t="s">
        <v>538</v>
      </c>
      <c r="C650">
        <v>46</v>
      </c>
      <c r="D650" s="6">
        <v>19662.2</v>
      </c>
      <c r="E650" s="6">
        <v>6488.53</v>
      </c>
    </row>
    <row r="651" spans="1:5" x14ac:dyDescent="0.25">
      <c r="A651" t="str">
        <f>"132530"</f>
        <v>132530</v>
      </c>
      <c r="B651" t="s">
        <v>539</v>
      </c>
      <c r="C651">
        <v>343</v>
      </c>
      <c r="D651" s="6">
        <v>146611.65</v>
      </c>
      <c r="E651" s="6">
        <v>48381.84</v>
      </c>
    </row>
    <row r="652" spans="1:5" x14ac:dyDescent="0.25">
      <c r="A652" t="str">
        <f>"132571"</f>
        <v>132571</v>
      </c>
      <c r="B652" t="s">
        <v>540</v>
      </c>
      <c r="C652">
        <v>4</v>
      </c>
      <c r="D652" s="6">
        <v>1709.76</v>
      </c>
      <c r="E652" s="6">
        <v>564.22</v>
      </c>
    </row>
    <row r="653" spans="1:5" x14ac:dyDescent="0.25">
      <c r="A653" t="str">
        <f>"132597"</f>
        <v>132597</v>
      </c>
      <c r="B653" t="s">
        <v>541</v>
      </c>
      <c r="C653">
        <v>24</v>
      </c>
      <c r="D653" s="6">
        <v>10258.540000000001</v>
      </c>
      <c r="E653" s="6">
        <v>3385.32</v>
      </c>
    </row>
    <row r="654" spans="1:5" x14ac:dyDescent="0.25">
      <c r="A654" t="str">
        <f>"132621"</f>
        <v>132621</v>
      </c>
      <c r="B654" t="s">
        <v>542</v>
      </c>
      <c r="C654">
        <v>12</v>
      </c>
      <c r="D654" s="6">
        <v>5129.2700000000004</v>
      </c>
      <c r="E654" s="6">
        <v>1692.66</v>
      </c>
    </row>
    <row r="655" spans="1:5" x14ac:dyDescent="0.25">
      <c r="A655" t="str">
        <f>"132647"</f>
        <v>132647</v>
      </c>
      <c r="B655" t="s">
        <v>543</v>
      </c>
      <c r="C655">
        <v>122</v>
      </c>
      <c r="D655" s="6">
        <v>52147.58</v>
      </c>
      <c r="E655" s="6">
        <v>17208.7</v>
      </c>
    </row>
    <row r="656" spans="1:5" x14ac:dyDescent="0.25">
      <c r="A656" t="str">
        <f>"132662"</f>
        <v>132662</v>
      </c>
      <c r="B656" t="s">
        <v>544</v>
      </c>
      <c r="C656">
        <v>22</v>
      </c>
      <c r="D656" s="6">
        <v>9403.66</v>
      </c>
      <c r="E656" s="6">
        <v>3103.21</v>
      </c>
    </row>
    <row r="657" spans="1:5" x14ac:dyDescent="0.25">
      <c r="A657" t="str">
        <f>"132688"</f>
        <v>132688</v>
      </c>
      <c r="B657" t="s">
        <v>545</v>
      </c>
      <c r="C657">
        <v>15</v>
      </c>
      <c r="D657" s="6">
        <v>3122.09</v>
      </c>
      <c r="E657" s="6">
        <v>1030.29</v>
      </c>
    </row>
    <row r="658" spans="1:5" x14ac:dyDescent="0.25">
      <c r="A658" t="str">
        <f>"132696"</f>
        <v>132696</v>
      </c>
      <c r="B658" t="s">
        <v>546</v>
      </c>
      <c r="C658">
        <v>61</v>
      </c>
      <c r="D658" s="6">
        <v>26073.79</v>
      </c>
      <c r="E658" s="6">
        <v>8604.35</v>
      </c>
    </row>
    <row r="659" spans="1:5" x14ac:dyDescent="0.25">
      <c r="A659" t="str">
        <f>"132704"</f>
        <v>132704</v>
      </c>
      <c r="B659" t="s">
        <v>547</v>
      </c>
      <c r="C659">
        <v>75</v>
      </c>
      <c r="D659" s="6">
        <v>32057.94</v>
      </c>
      <c r="E659" s="6">
        <v>10579.12</v>
      </c>
    </row>
    <row r="660" spans="1:5" x14ac:dyDescent="0.25">
      <c r="A660" t="str">
        <f>"132712"</f>
        <v>132712</v>
      </c>
      <c r="B660" t="s">
        <v>548</v>
      </c>
      <c r="C660">
        <v>134</v>
      </c>
      <c r="D660" s="6">
        <v>57276.86</v>
      </c>
      <c r="E660" s="6">
        <v>18901.36</v>
      </c>
    </row>
    <row r="661" spans="1:5" x14ac:dyDescent="0.25">
      <c r="A661" t="str">
        <f>"132829"</f>
        <v>132829</v>
      </c>
      <c r="B661" t="s">
        <v>549</v>
      </c>
      <c r="C661">
        <v>74</v>
      </c>
      <c r="D661" s="6">
        <v>31630.5</v>
      </c>
      <c r="E661" s="6">
        <v>10438.07</v>
      </c>
    </row>
    <row r="662" spans="1:5" x14ac:dyDescent="0.25">
      <c r="A662" t="str">
        <f>"132837"</f>
        <v>132837</v>
      </c>
      <c r="B662" t="s">
        <v>550</v>
      </c>
      <c r="C662">
        <v>12</v>
      </c>
      <c r="D662" s="6">
        <v>5129.2700000000004</v>
      </c>
      <c r="E662" s="6">
        <v>1692.66</v>
      </c>
    </row>
    <row r="663" spans="1:5" x14ac:dyDescent="0.25">
      <c r="A663" t="str">
        <f>"132878"</f>
        <v>132878</v>
      </c>
      <c r="B663" t="s">
        <v>551</v>
      </c>
      <c r="C663">
        <v>149</v>
      </c>
      <c r="D663" s="6">
        <v>63688.44</v>
      </c>
      <c r="E663" s="6">
        <v>21017.19</v>
      </c>
    </row>
    <row r="664" spans="1:5" x14ac:dyDescent="0.25">
      <c r="A664" t="str">
        <f>"132928"</f>
        <v>132928</v>
      </c>
      <c r="B664" t="s">
        <v>83</v>
      </c>
      <c r="C664">
        <v>120</v>
      </c>
      <c r="D664" s="6">
        <v>51292.71</v>
      </c>
      <c r="E664" s="6">
        <v>16926.59</v>
      </c>
    </row>
    <row r="665" spans="1:5" x14ac:dyDescent="0.25">
      <c r="A665" t="str">
        <f>"132936"</f>
        <v>132936</v>
      </c>
      <c r="B665" t="s">
        <v>552</v>
      </c>
      <c r="C665">
        <v>15</v>
      </c>
      <c r="D665" s="6">
        <v>2671.02</v>
      </c>
      <c r="E665" s="6">
        <v>881.44</v>
      </c>
    </row>
    <row r="666" spans="1:5" x14ac:dyDescent="0.25">
      <c r="A666" t="str">
        <f>"133025"</f>
        <v>133025</v>
      </c>
      <c r="B666" t="s">
        <v>553</v>
      </c>
      <c r="C666">
        <v>11</v>
      </c>
      <c r="D666" s="6">
        <v>4701.83</v>
      </c>
      <c r="E666" s="6">
        <v>1551.6</v>
      </c>
    </row>
    <row r="667" spans="1:5" x14ac:dyDescent="0.25">
      <c r="A667" t="str">
        <f>"133033"</f>
        <v>133033</v>
      </c>
      <c r="B667" t="s">
        <v>554</v>
      </c>
      <c r="C667">
        <v>75</v>
      </c>
      <c r="D667" s="6">
        <v>32057.94</v>
      </c>
      <c r="E667" s="6">
        <v>10579.12</v>
      </c>
    </row>
    <row r="668" spans="1:5" x14ac:dyDescent="0.25">
      <c r="A668" t="str">
        <f>"133041"</f>
        <v>133041</v>
      </c>
      <c r="B668" t="s">
        <v>555</v>
      </c>
      <c r="C668">
        <v>11</v>
      </c>
      <c r="D668" s="6">
        <v>4701.83</v>
      </c>
      <c r="E668" s="6">
        <v>1551.6</v>
      </c>
    </row>
    <row r="669" spans="1:5" x14ac:dyDescent="0.25">
      <c r="A669" t="str">
        <f>"133082"</f>
        <v>133082</v>
      </c>
      <c r="B669" t="s">
        <v>556</v>
      </c>
      <c r="C669">
        <v>107</v>
      </c>
      <c r="D669" s="6">
        <v>41599.160000000003</v>
      </c>
      <c r="E669" s="6">
        <v>13727.72</v>
      </c>
    </row>
    <row r="670" spans="1:5" x14ac:dyDescent="0.25">
      <c r="A670" t="str">
        <f>"133090"</f>
        <v>133090</v>
      </c>
      <c r="B670" t="s">
        <v>557</v>
      </c>
      <c r="C670">
        <v>6</v>
      </c>
      <c r="D670" s="6">
        <v>2564.64</v>
      </c>
      <c r="E670" s="6">
        <v>846.33</v>
      </c>
    </row>
    <row r="671" spans="1:5" x14ac:dyDescent="0.25">
      <c r="A671" t="str">
        <f>"133116"</f>
        <v>133116</v>
      </c>
      <c r="B671" t="s">
        <v>558</v>
      </c>
      <c r="C671">
        <v>41</v>
      </c>
      <c r="D671" s="6">
        <v>17525.009999999998</v>
      </c>
      <c r="E671" s="6">
        <v>5783.25</v>
      </c>
    </row>
    <row r="672" spans="1:5" x14ac:dyDescent="0.25">
      <c r="A672" t="str">
        <f>"133132"</f>
        <v>133132</v>
      </c>
      <c r="B672" t="s">
        <v>559</v>
      </c>
      <c r="C672">
        <v>28</v>
      </c>
      <c r="D672" s="6">
        <v>11968.3</v>
      </c>
      <c r="E672" s="6">
        <v>3949.54</v>
      </c>
    </row>
    <row r="673" spans="1:5" x14ac:dyDescent="0.25">
      <c r="A673" t="str">
        <f>"133140"</f>
        <v>133140</v>
      </c>
      <c r="B673" t="s">
        <v>43</v>
      </c>
      <c r="C673">
        <v>389</v>
      </c>
      <c r="D673" s="6">
        <v>166273.85999999999</v>
      </c>
      <c r="E673" s="6">
        <v>54870.37</v>
      </c>
    </row>
    <row r="674" spans="1:5" x14ac:dyDescent="0.25">
      <c r="A674" t="str">
        <f>"133165"</f>
        <v>133165</v>
      </c>
      <c r="B674" t="s">
        <v>560</v>
      </c>
      <c r="C674">
        <v>21</v>
      </c>
      <c r="D674" s="6">
        <v>8976.2199999999993</v>
      </c>
      <c r="E674" s="6">
        <v>2962.15</v>
      </c>
    </row>
    <row r="675" spans="1:5" x14ac:dyDescent="0.25">
      <c r="A675" t="str">
        <f>"133207"</f>
        <v>133207</v>
      </c>
      <c r="B675" t="s">
        <v>561</v>
      </c>
      <c r="C675">
        <v>104</v>
      </c>
      <c r="D675" s="6">
        <v>44453.68</v>
      </c>
      <c r="E675" s="6">
        <v>14669.71</v>
      </c>
    </row>
    <row r="676" spans="1:5" x14ac:dyDescent="0.25">
      <c r="A676" t="str">
        <f>"134304"</f>
        <v>134304</v>
      </c>
      <c r="B676" t="s">
        <v>562</v>
      </c>
      <c r="C676">
        <v>67</v>
      </c>
      <c r="D676" s="6">
        <v>26121.93</v>
      </c>
      <c r="E676" s="6">
        <v>8620.24</v>
      </c>
    </row>
    <row r="677" spans="1:5" x14ac:dyDescent="0.25">
      <c r="A677" t="str">
        <f>"134312"</f>
        <v>134312</v>
      </c>
      <c r="B677" t="s">
        <v>563</v>
      </c>
      <c r="C677">
        <v>534</v>
      </c>
      <c r="D677" s="6">
        <v>228252.54</v>
      </c>
      <c r="E677" s="6">
        <v>75323.34</v>
      </c>
    </row>
    <row r="678" spans="1:5" x14ac:dyDescent="0.25">
      <c r="A678" t="str">
        <f>"134338"</f>
        <v>134338</v>
      </c>
      <c r="B678" t="s">
        <v>564</v>
      </c>
      <c r="C678">
        <v>206</v>
      </c>
      <c r="D678" s="6">
        <v>88052.479999999996</v>
      </c>
      <c r="E678" s="6">
        <v>29057.32</v>
      </c>
    </row>
    <row r="679" spans="1:5" x14ac:dyDescent="0.25">
      <c r="A679" t="str">
        <f>"134353"</f>
        <v>134353</v>
      </c>
      <c r="B679" t="s">
        <v>565</v>
      </c>
      <c r="C679">
        <v>148</v>
      </c>
      <c r="D679" s="6">
        <v>63261</v>
      </c>
      <c r="E679" s="6">
        <v>20876.13</v>
      </c>
    </row>
    <row r="680" spans="1:5" x14ac:dyDescent="0.25">
      <c r="A680" t="str">
        <f>"134387"</f>
        <v>134387</v>
      </c>
      <c r="B680" t="s">
        <v>566</v>
      </c>
      <c r="C680">
        <v>149</v>
      </c>
      <c r="D680" s="6">
        <v>63688.44</v>
      </c>
      <c r="E680" s="6">
        <v>21017.19</v>
      </c>
    </row>
    <row r="681" spans="1:5" x14ac:dyDescent="0.25">
      <c r="A681" t="str">
        <f>"134429"</f>
        <v>134429</v>
      </c>
      <c r="B681" t="s">
        <v>567</v>
      </c>
      <c r="C681">
        <v>168</v>
      </c>
      <c r="D681" s="6">
        <v>71809.789999999994</v>
      </c>
      <c r="E681" s="6">
        <v>23697.23</v>
      </c>
    </row>
    <row r="682" spans="1:5" x14ac:dyDescent="0.25">
      <c r="A682" t="str">
        <f>"134437"</f>
        <v>134437</v>
      </c>
      <c r="B682" t="s">
        <v>568</v>
      </c>
      <c r="C682">
        <v>46</v>
      </c>
      <c r="D682" s="6">
        <v>19662.2</v>
      </c>
      <c r="E682" s="6">
        <v>6488.53</v>
      </c>
    </row>
    <row r="683" spans="1:5" x14ac:dyDescent="0.25">
      <c r="A683" t="str">
        <f>"134460"</f>
        <v>134460</v>
      </c>
      <c r="B683" t="s">
        <v>569</v>
      </c>
      <c r="C683">
        <v>113</v>
      </c>
      <c r="D683" s="6">
        <v>48300.63</v>
      </c>
      <c r="E683" s="6">
        <v>15939.21</v>
      </c>
    </row>
    <row r="684" spans="1:5" x14ac:dyDescent="0.25">
      <c r="A684" t="str">
        <f>"134478"</f>
        <v>134478</v>
      </c>
      <c r="B684" t="s">
        <v>570</v>
      </c>
      <c r="C684">
        <v>58</v>
      </c>
      <c r="D684" s="6">
        <v>24791.47</v>
      </c>
      <c r="E684" s="6">
        <v>8181.19</v>
      </c>
    </row>
    <row r="685" spans="1:5" x14ac:dyDescent="0.25">
      <c r="A685" t="str">
        <f>"134510"</f>
        <v>134510</v>
      </c>
      <c r="B685" t="s">
        <v>571</v>
      </c>
      <c r="C685">
        <v>455</v>
      </c>
      <c r="D685" s="6">
        <v>194484.84</v>
      </c>
      <c r="E685" s="6">
        <v>64180</v>
      </c>
    </row>
    <row r="686" spans="1:5" x14ac:dyDescent="0.25">
      <c r="A686" t="str">
        <f>"134528"</f>
        <v>134528</v>
      </c>
      <c r="B686" t="s">
        <v>572</v>
      </c>
      <c r="C686">
        <v>187</v>
      </c>
      <c r="D686" s="6">
        <v>79931.13</v>
      </c>
      <c r="E686" s="6">
        <v>26377.27</v>
      </c>
    </row>
    <row r="687" spans="1:5" x14ac:dyDescent="0.25">
      <c r="A687" t="str">
        <f>"134536"</f>
        <v>134536</v>
      </c>
      <c r="B687" t="s">
        <v>573</v>
      </c>
      <c r="C687">
        <v>95</v>
      </c>
      <c r="D687" s="6">
        <v>40606.730000000003</v>
      </c>
      <c r="E687" s="6">
        <v>13400.22</v>
      </c>
    </row>
    <row r="688" spans="1:5" x14ac:dyDescent="0.25">
      <c r="A688" t="str">
        <f>"134544"</f>
        <v>134544</v>
      </c>
      <c r="B688" t="s">
        <v>574</v>
      </c>
      <c r="C688">
        <v>9</v>
      </c>
      <c r="D688" s="6">
        <v>3846.95</v>
      </c>
      <c r="E688" s="6">
        <v>1269.49</v>
      </c>
    </row>
    <row r="689" spans="1:5" x14ac:dyDescent="0.25">
      <c r="A689" t="str">
        <f>"134619"</f>
        <v>134619</v>
      </c>
      <c r="B689" t="s">
        <v>508</v>
      </c>
      <c r="C689">
        <v>268</v>
      </c>
      <c r="D689" s="6">
        <v>114553.71</v>
      </c>
      <c r="E689" s="6">
        <v>37802.720000000001</v>
      </c>
    </row>
    <row r="690" spans="1:5" x14ac:dyDescent="0.25">
      <c r="A690" t="str">
        <f>"134817"</f>
        <v>134817</v>
      </c>
      <c r="B690" t="s">
        <v>575</v>
      </c>
      <c r="C690">
        <v>37</v>
      </c>
      <c r="D690" s="6">
        <v>15815.25</v>
      </c>
      <c r="E690" s="6">
        <v>5219.03</v>
      </c>
    </row>
    <row r="691" spans="1:5" x14ac:dyDescent="0.25">
      <c r="A691" t="str">
        <f>"138073"</f>
        <v>138073</v>
      </c>
      <c r="B691" t="s">
        <v>576</v>
      </c>
      <c r="C691">
        <v>163</v>
      </c>
      <c r="D691" s="6">
        <v>69672.59</v>
      </c>
      <c r="E691" s="6">
        <v>22991.95</v>
      </c>
    </row>
    <row r="692" spans="1:5" x14ac:dyDescent="0.25">
      <c r="A692" t="str">
        <f>"143008"</f>
        <v>143008</v>
      </c>
      <c r="B692" t="s">
        <v>577</v>
      </c>
      <c r="C692">
        <v>150</v>
      </c>
      <c r="D692" s="6">
        <v>64115.88</v>
      </c>
      <c r="E692" s="6">
        <v>21158.240000000002</v>
      </c>
    </row>
    <row r="693" spans="1:5" x14ac:dyDescent="0.25">
      <c r="A693" t="str">
        <f>"143040"</f>
        <v>143040</v>
      </c>
      <c r="B693" t="s">
        <v>578</v>
      </c>
      <c r="C693">
        <v>87</v>
      </c>
      <c r="D693" s="6">
        <v>37187.21</v>
      </c>
      <c r="E693" s="6">
        <v>12271.78</v>
      </c>
    </row>
    <row r="694" spans="1:5" x14ac:dyDescent="0.25">
      <c r="A694" t="str">
        <f>"143081"</f>
        <v>143081</v>
      </c>
      <c r="B694" t="s">
        <v>579</v>
      </c>
      <c r="C694">
        <v>200</v>
      </c>
      <c r="D694" s="6">
        <v>85487.84</v>
      </c>
      <c r="E694" s="6">
        <v>28210.99</v>
      </c>
    </row>
    <row r="695" spans="1:5" x14ac:dyDescent="0.25">
      <c r="A695" t="str">
        <f>"143099"</f>
        <v>143099</v>
      </c>
      <c r="B695" t="s">
        <v>580</v>
      </c>
      <c r="C695">
        <v>245</v>
      </c>
      <c r="D695" s="6">
        <v>104722.61</v>
      </c>
      <c r="E695" s="6">
        <v>34558.46</v>
      </c>
    </row>
    <row r="696" spans="1:5" x14ac:dyDescent="0.25">
      <c r="A696" t="str">
        <f>"143230"</f>
        <v>143230</v>
      </c>
      <c r="B696" t="s">
        <v>581</v>
      </c>
      <c r="C696">
        <v>23</v>
      </c>
      <c r="D696" s="6">
        <v>9831.1</v>
      </c>
      <c r="E696" s="6">
        <v>3244.26</v>
      </c>
    </row>
    <row r="697" spans="1:5" x14ac:dyDescent="0.25">
      <c r="A697" t="str">
        <f>"143248"</f>
        <v>143248</v>
      </c>
      <c r="B697" t="s">
        <v>582</v>
      </c>
      <c r="C697">
        <v>116</v>
      </c>
      <c r="D697" s="6">
        <v>49582.95</v>
      </c>
      <c r="E697" s="6">
        <v>16362.37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77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97"/>
  <sheetViews>
    <sheetView workbookViewId="0">
      <selection activeCell="D6" sqref="D6:F697"/>
    </sheetView>
  </sheetViews>
  <sheetFormatPr defaultRowHeight="15" x14ac:dyDescent="0.25"/>
  <cols>
    <col min="2" max="2" width="59.7109375" bestFit="1" customWidth="1"/>
    <col min="3" max="3" width="21.42578125" customWidth="1"/>
    <col min="4" max="4" width="35.7109375" customWidth="1"/>
    <col min="5" max="5" width="28.5703125" customWidth="1"/>
    <col min="6" max="6" width="29.42578125" customWidth="1"/>
  </cols>
  <sheetData>
    <row r="1" spans="1:6" ht="23.25" x14ac:dyDescent="0.35">
      <c r="A1" s="2" t="s">
        <v>0</v>
      </c>
      <c r="B1" s="2"/>
      <c r="C1" s="2"/>
      <c r="D1" s="2"/>
      <c r="E1" s="2"/>
      <c r="F1" s="2"/>
    </row>
    <row r="2" spans="1:6" x14ac:dyDescent="0.25">
      <c r="A2" s="3" t="s">
        <v>587</v>
      </c>
      <c r="B2" s="3"/>
      <c r="C2" s="3"/>
      <c r="D2" s="3"/>
      <c r="E2" s="3"/>
      <c r="F2" s="3"/>
    </row>
    <row r="3" spans="1:6" x14ac:dyDescent="0.25">
      <c r="A3" s="3" t="s">
        <v>588</v>
      </c>
      <c r="B3" s="3"/>
      <c r="C3" s="3"/>
      <c r="D3" s="3"/>
      <c r="E3" s="3"/>
      <c r="F3" s="3"/>
    </row>
    <row r="4" spans="1:6" x14ac:dyDescent="0.25">
      <c r="A4" s="4" t="s">
        <v>583</v>
      </c>
      <c r="B4" s="4"/>
      <c r="C4" s="4"/>
      <c r="D4" s="4"/>
      <c r="E4" s="4"/>
      <c r="F4" s="4"/>
    </row>
    <row r="5" spans="1:6" ht="15.75" thickBo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584</v>
      </c>
      <c r="F5" s="1" t="s">
        <v>585</v>
      </c>
    </row>
    <row r="6" spans="1:6" x14ac:dyDescent="0.25">
      <c r="A6" t="str">
        <f>"000176"</f>
        <v>000176</v>
      </c>
      <c r="B6" t="s">
        <v>7</v>
      </c>
      <c r="C6">
        <v>178</v>
      </c>
      <c r="D6" s="6">
        <v>76084.179999999993</v>
      </c>
      <c r="E6" s="6">
        <v>25107.78</v>
      </c>
      <c r="F6" s="6">
        <v>25107.78</v>
      </c>
    </row>
    <row r="7" spans="1:6" x14ac:dyDescent="0.25">
      <c r="A7" t="str">
        <f>"000204"</f>
        <v>000204</v>
      </c>
      <c r="B7" t="s">
        <v>8</v>
      </c>
      <c r="C7">
        <v>46</v>
      </c>
      <c r="D7" s="6">
        <v>19662.2</v>
      </c>
      <c r="E7" s="6">
        <v>6488.53</v>
      </c>
      <c r="F7" s="6">
        <v>6488.5199999999995</v>
      </c>
    </row>
    <row r="8" spans="1:6" x14ac:dyDescent="0.25">
      <c r="A8" t="str">
        <f>"000468"</f>
        <v>000468</v>
      </c>
      <c r="B8" t="s">
        <v>9</v>
      </c>
      <c r="C8">
        <v>152</v>
      </c>
      <c r="D8" s="6">
        <v>64970.76</v>
      </c>
      <c r="E8" s="6">
        <v>21440.35</v>
      </c>
      <c r="F8" s="6">
        <v>21440.35</v>
      </c>
    </row>
    <row r="9" spans="1:6" x14ac:dyDescent="0.25">
      <c r="A9" t="str">
        <f>"000476"</f>
        <v>000476</v>
      </c>
      <c r="B9" t="s">
        <v>10</v>
      </c>
      <c r="C9">
        <v>398</v>
      </c>
      <c r="D9" s="6">
        <v>170120.81</v>
      </c>
      <c r="E9" s="6">
        <v>56139.87</v>
      </c>
      <c r="F9" s="6">
        <v>56139.859999999993</v>
      </c>
    </row>
    <row r="10" spans="1:6" x14ac:dyDescent="0.25">
      <c r="A10" t="str">
        <f>"000479"</f>
        <v>000479</v>
      </c>
      <c r="B10" t="s">
        <v>11</v>
      </c>
      <c r="C10">
        <v>25</v>
      </c>
      <c r="D10" s="6">
        <v>10685.98</v>
      </c>
      <c r="E10" s="6">
        <v>3526.37</v>
      </c>
      <c r="F10" s="6">
        <v>3526.38</v>
      </c>
    </row>
    <row r="11" spans="1:6" x14ac:dyDescent="0.25">
      <c r="A11" t="str">
        <f>"000551"</f>
        <v>000551</v>
      </c>
      <c r="B11" t="s">
        <v>12</v>
      </c>
      <c r="C11">
        <v>383</v>
      </c>
      <c r="D11" s="6">
        <v>163709.22</v>
      </c>
      <c r="E11" s="6">
        <v>54024.04</v>
      </c>
      <c r="F11" s="6">
        <v>54024.049999999996</v>
      </c>
    </row>
    <row r="12" spans="1:6" x14ac:dyDescent="0.25">
      <c r="A12" t="str">
        <f>"000601"</f>
        <v>000601</v>
      </c>
      <c r="B12" t="s">
        <v>13</v>
      </c>
      <c r="C12">
        <v>211</v>
      </c>
      <c r="D12" s="6">
        <v>90189.68</v>
      </c>
      <c r="E12" s="6">
        <v>29762.59</v>
      </c>
      <c r="F12" s="6">
        <v>29762.600000000002</v>
      </c>
    </row>
    <row r="13" spans="1:6" x14ac:dyDescent="0.25">
      <c r="A13" t="str">
        <f>"000660"</f>
        <v>000660</v>
      </c>
      <c r="B13" t="s">
        <v>14</v>
      </c>
      <c r="C13">
        <v>70</v>
      </c>
      <c r="D13" s="6">
        <v>29920.75</v>
      </c>
      <c r="E13" s="6">
        <v>9873.85</v>
      </c>
      <c r="F13" s="6">
        <v>9873.85</v>
      </c>
    </row>
    <row r="14" spans="1:6" x14ac:dyDescent="0.25">
      <c r="A14" t="str">
        <f>"000681"</f>
        <v>000681</v>
      </c>
      <c r="B14" t="s">
        <v>15</v>
      </c>
      <c r="C14">
        <v>6</v>
      </c>
      <c r="D14" s="6">
        <v>2210.9899999999998</v>
      </c>
      <c r="E14" s="6">
        <v>729.63</v>
      </c>
      <c r="F14" s="6">
        <v>729.62</v>
      </c>
    </row>
    <row r="15" spans="1:6" x14ac:dyDescent="0.25">
      <c r="A15" t="str">
        <f>"007996"</f>
        <v>007996</v>
      </c>
      <c r="B15" t="s">
        <v>16</v>
      </c>
      <c r="C15">
        <v>7</v>
      </c>
      <c r="D15" s="6">
        <v>2992.07</v>
      </c>
      <c r="E15" s="6">
        <v>987.38</v>
      </c>
      <c r="F15" s="6">
        <v>987.39</v>
      </c>
    </row>
    <row r="16" spans="1:6" x14ac:dyDescent="0.25">
      <c r="A16" t="str">
        <f>"008019"</f>
        <v>008019</v>
      </c>
      <c r="B16" t="s">
        <v>17</v>
      </c>
      <c r="C16">
        <v>223</v>
      </c>
      <c r="D16" s="6">
        <v>95318.95</v>
      </c>
      <c r="E16" s="6">
        <v>31455.25</v>
      </c>
      <c r="F16" s="6">
        <v>31455.260000000002</v>
      </c>
    </row>
    <row r="17" spans="1:6" x14ac:dyDescent="0.25">
      <c r="A17" t="str">
        <f>"008070"</f>
        <v>008070</v>
      </c>
      <c r="B17" t="s">
        <v>18</v>
      </c>
      <c r="C17">
        <v>22</v>
      </c>
      <c r="D17" s="6">
        <v>9403.66</v>
      </c>
      <c r="E17" s="6">
        <v>3103.21</v>
      </c>
      <c r="F17" s="6">
        <v>3103.21</v>
      </c>
    </row>
    <row r="18" spans="1:6" x14ac:dyDescent="0.25">
      <c r="A18" t="str">
        <f>"008071"</f>
        <v>008071</v>
      </c>
      <c r="B18" t="s">
        <v>19</v>
      </c>
      <c r="C18">
        <v>214</v>
      </c>
      <c r="D18" s="6">
        <v>91471.99</v>
      </c>
      <c r="E18" s="6">
        <v>30185.759999999998</v>
      </c>
      <c r="F18" s="6">
        <v>30185.750000000004</v>
      </c>
    </row>
    <row r="19" spans="1:6" x14ac:dyDescent="0.25">
      <c r="A19" t="str">
        <f>"008096"</f>
        <v>008096</v>
      </c>
      <c r="B19" t="s">
        <v>20</v>
      </c>
      <c r="C19">
        <v>191</v>
      </c>
      <c r="D19" s="6">
        <v>81640.89</v>
      </c>
      <c r="E19" s="6">
        <v>26941.49</v>
      </c>
      <c r="F19" s="6">
        <v>26941.499999999996</v>
      </c>
    </row>
    <row r="20" spans="1:6" x14ac:dyDescent="0.25">
      <c r="A20" t="str">
        <f>"008163"</f>
        <v>008163</v>
      </c>
      <c r="B20" t="s">
        <v>21</v>
      </c>
      <c r="C20">
        <v>89</v>
      </c>
      <c r="D20" s="6">
        <v>38042.089999999997</v>
      </c>
      <c r="E20" s="6">
        <v>12553.89</v>
      </c>
      <c r="F20" s="6">
        <v>12553.89</v>
      </c>
    </row>
    <row r="21" spans="1:6" x14ac:dyDescent="0.25">
      <c r="A21" t="str">
        <f>"008246"</f>
        <v>008246</v>
      </c>
      <c r="B21" t="s">
        <v>22</v>
      </c>
      <c r="C21">
        <v>115</v>
      </c>
      <c r="D21" s="6">
        <v>49155.51</v>
      </c>
      <c r="E21" s="6">
        <v>16221.32</v>
      </c>
      <c r="F21" s="6">
        <v>16221.32</v>
      </c>
    </row>
    <row r="22" spans="1:6" x14ac:dyDescent="0.25">
      <c r="A22" t="str">
        <f>"008972"</f>
        <v>008972</v>
      </c>
      <c r="B22" t="s">
        <v>23</v>
      </c>
      <c r="C22">
        <v>14</v>
      </c>
      <c r="D22" s="6">
        <v>5984.15</v>
      </c>
      <c r="E22" s="6">
        <v>1974.77</v>
      </c>
      <c r="F22" s="6">
        <v>1974.77</v>
      </c>
    </row>
    <row r="23" spans="1:6" x14ac:dyDescent="0.25">
      <c r="A23" t="str">
        <f>"008973"</f>
        <v>008973</v>
      </c>
      <c r="B23" t="s">
        <v>24</v>
      </c>
      <c r="C23">
        <v>36</v>
      </c>
      <c r="D23" s="6">
        <v>10976.08</v>
      </c>
      <c r="E23" s="6">
        <v>3622.11</v>
      </c>
      <c r="F23" s="6">
        <v>3622.1</v>
      </c>
    </row>
    <row r="24" spans="1:6" x14ac:dyDescent="0.25">
      <c r="A24" t="str">
        <f>"009104"</f>
        <v>009104</v>
      </c>
      <c r="B24" t="s">
        <v>25</v>
      </c>
      <c r="C24">
        <v>44</v>
      </c>
      <c r="D24" s="6">
        <v>18807.330000000002</v>
      </c>
      <c r="E24" s="6">
        <v>6206.42</v>
      </c>
      <c r="F24" s="6">
        <v>6206.42</v>
      </c>
    </row>
    <row r="25" spans="1:6" x14ac:dyDescent="0.25">
      <c r="A25" t="str">
        <f>"009124"</f>
        <v>009124</v>
      </c>
      <c r="B25" t="s">
        <v>26</v>
      </c>
      <c r="C25">
        <v>24</v>
      </c>
      <c r="D25" s="6">
        <v>9564.67</v>
      </c>
      <c r="E25" s="6">
        <v>3156.34</v>
      </c>
      <c r="F25" s="6">
        <v>3156.34</v>
      </c>
    </row>
    <row r="26" spans="1:6" x14ac:dyDescent="0.25">
      <c r="A26" t="str">
        <f>"009270"</f>
        <v>009270</v>
      </c>
      <c r="B26" t="s">
        <v>27</v>
      </c>
      <c r="C26">
        <v>243</v>
      </c>
      <c r="D26" s="6">
        <v>103867.73</v>
      </c>
      <c r="E26" s="6">
        <v>34276.35</v>
      </c>
      <c r="F26" s="6">
        <v>34276.35</v>
      </c>
    </row>
    <row r="27" spans="1:6" x14ac:dyDescent="0.25">
      <c r="A27" t="str">
        <f>"009374"</f>
        <v>009374</v>
      </c>
      <c r="B27" t="s">
        <v>28</v>
      </c>
      <c r="C27">
        <v>21</v>
      </c>
      <c r="D27" s="6">
        <v>8976.2199999999993</v>
      </c>
      <c r="E27" s="6">
        <v>2962.15</v>
      </c>
      <c r="F27" s="6">
        <v>2962.1600000000003</v>
      </c>
    </row>
    <row r="28" spans="1:6" x14ac:dyDescent="0.25">
      <c r="A28" t="str">
        <f>"009435"</f>
        <v>009435</v>
      </c>
      <c r="B28" t="s">
        <v>29</v>
      </c>
      <c r="C28">
        <v>42</v>
      </c>
      <c r="D28" s="6">
        <v>17952.45</v>
      </c>
      <c r="E28" s="6">
        <v>5924.31</v>
      </c>
      <c r="F28" s="6">
        <v>5924.31</v>
      </c>
    </row>
    <row r="29" spans="1:6" x14ac:dyDescent="0.25">
      <c r="A29" t="str">
        <f>"009443"</f>
        <v>009443</v>
      </c>
      <c r="B29" t="s">
        <v>30</v>
      </c>
      <c r="C29">
        <v>122</v>
      </c>
      <c r="D29" s="6">
        <v>52147.58</v>
      </c>
      <c r="E29" s="6">
        <v>17208.7</v>
      </c>
      <c r="F29" s="6">
        <v>17208.7</v>
      </c>
    </row>
    <row r="30" spans="1:6" x14ac:dyDescent="0.25">
      <c r="A30" t="str">
        <f>"009453"</f>
        <v>009453</v>
      </c>
      <c r="B30" t="s">
        <v>31</v>
      </c>
      <c r="C30">
        <v>145</v>
      </c>
      <c r="D30" s="6">
        <v>61978.69</v>
      </c>
      <c r="E30" s="6">
        <v>20452.97</v>
      </c>
      <c r="F30" s="6">
        <v>20452.97</v>
      </c>
    </row>
    <row r="31" spans="1:6" x14ac:dyDescent="0.25">
      <c r="A31" t="str">
        <f>"009467"</f>
        <v>009467</v>
      </c>
      <c r="B31" t="s">
        <v>32</v>
      </c>
      <c r="C31">
        <v>289</v>
      </c>
      <c r="D31" s="6">
        <v>116876.97</v>
      </c>
      <c r="E31" s="6">
        <v>38569.4</v>
      </c>
      <c r="F31" s="6">
        <v>38569.4</v>
      </c>
    </row>
    <row r="32" spans="1:6" x14ac:dyDescent="0.25">
      <c r="A32" t="str">
        <f>"009484"</f>
        <v>009484</v>
      </c>
      <c r="B32" t="s">
        <v>33</v>
      </c>
      <c r="C32">
        <v>91</v>
      </c>
      <c r="D32" s="6">
        <v>38896.97</v>
      </c>
      <c r="E32" s="6">
        <v>12836</v>
      </c>
      <c r="F32" s="6">
        <v>12836</v>
      </c>
    </row>
    <row r="33" spans="1:6" x14ac:dyDescent="0.25">
      <c r="A33" t="str">
        <f>"009485"</f>
        <v>009485</v>
      </c>
      <c r="B33" t="s">
        <v>34</v>
      </c>
      <c r="C33">
        <v>202</v>
      </c>
      <c r="D33" s="6">
        <v>86342.720000000001</v>
      </c>
      <c r="E33" s="6">
        <v>28493.1</v>
      </c>
      <c r="F33" s="6">
        <v>28493.1</v>
      </c>
    </row>
    <row r="34" spans="1:6" x14ac:dyDescent="0.25">
      <c r="A34" t="str">
        <f>"010187"</f>
        <v>010187</v>
      </c>
      <c r="B34" t="s">
        <v>35</v>
      </c>
      <c r="C34">
        <v>103</v>
      </c>
      <c r="D34" s="6">
        <v>44026.239999999998</v>
      </c>
      <c r="E34" s="6">
        <v>14528.66</v>
      </c>
      <c r="F34" s="6">
        <v>14528.66</v>
      </c>
    </row>
    <row r="35" spans="1:6" x14ac:dyDescent="0.25">
      <c r="A35" t="str">
        <f>"010203"</f>
        <v>010203</v>
      </c>
      <c r="B35" t="s">
        <v>36</v>
      </c>
      <c r="C35">
        <v>20</v>
      </c>
      <c r="D35" s="6">
        <v>8548.7800000000007</v>
      </c>
      <c r="E35" s="6">
        <v>2821.1</v>
      </c>
      <c r="F35" s="6">
        <v>2821.0899999999997</v>
      </c>
    </row>
    <row r="36" spans="1:6" x14ac:dyDescent="0.25">
      <c r="A36" t="str">
        <f>"010210"</f>
        <v>010210</v>
      </c>
      <c r="B36" t="s">
        <v>37</v>
      </c>
      <c r="C36">
        <v>153</v>
      </c>
      <c r="D36" s="6">
        <v>65398.2</v>
      </c>
      <c r="E36" s="6">
        <v>21581.41</v>
      </c>
      <c r="F36" s="6">
        <v>21581.399999999998</v>
      </c>
    </row>
    <row r="37" spans="1:6" x14ac:dyDescent="0.25">
      <c r="A37" t="str">
        <f>"010275"</f>
        <v>010275</v>
      </c>
      <c r="B37" t="s">
        <v>38</v>
      </c>
      <c r="C37">
        <v>237</v>
      </c>
      <c r="D37" s="6">
        <v>101303.09</v>
      </c>
      <c r="E37" s="6">
        <v>33430.019999999997</v>
      </c>
      <c r="F37" s="6">
        <v>33430.019999999997</v>
      </c>
    </row>
    <row r="38" spans="1:6" x14ac:dyDescent="0.25">
      <c r="A38" t="str">
        <f>"010608"</f>
        <v>010608</v>
      </c>
      <c r="B38" t="s">
        <v>39</v>
      </c>
      <c r="C38">
        <v>123</v>
      </c>
      <c r="D38" s="6">
        <v>52575.02</v>
      </c>
      <c r="E38" s="6">
        <v>17349.759999999998</v>
      </c>
      <c r="F38" s="6">
        <v>17349.750000000004</v>
      </c>
    </row>
    <row r="39" spans="1:6" x14ac:dyDescent="0.25">
      <c r="A39" t="str">
        <f>"011374"</f>
        <v>011374</v>
      </c>
      <c r="B39" t="s">
        <v>40</v>
      </c>
      <c r="C39">
        <v>43</v>
      </c>
      <c r="D39" s="6">
        <v>18379.89</v>
      </c>
      <c r="E39" s="6">
        <v>6065.36</v>
      </c>
      <c r="F39" s="6">
        <v>6065.37</v>
      </c>
    </row>
    <row r="40" spans="1:6" x14ac:dyDescent="0.25">
      <c r="A40" t="str">
        <f>"011492"</f>
        <v>011492</v>
      </c>
      <c r="B40" t="s">
        <v>41</v>
      </c>
      <c r="C40">
        <v>168</v>
      </c>
      <c r="D40" s="6">
        <v>71809.789999999994</v>
      </c>
      <c r="E40" s="6">
        <v>23697.23</v>
      </c>
      <c r="F40" s="6">
        <v>23697.23</v>
      </c>
    </row>
    <row r="41" spans="1:6" x14ac:dyDescent="0.25">
      <c r="A41" t="str">
        <f>"011576"</f>
        <v>011576</v>
      </c>
      <c r="B41" t="s">
        <v>42</v>
      </c>
      <c r="C41">
        <v>263</v>
      </c>
      <c r="D41" s="6">
        <v>112416.51</v>
      </c>
      <c r="E41" s="6">
        <v>37097.449999999997</v>
      </c>
      <c r="F41" s="6">
        <v>37097.449999999997</v>
      </c>
    </row>
    <row r="42" spans="1:6" x14ac:dyDescent="0.25">
      <c r="A42" t="str">
        <f>"011933"</f>
        <v>011933</v>
      </c>
      <c r="B42" t="s">
        <v>44</v>
      </c>
      <c r="C42">
        <v>77</v>
      </c>
      <c r="D42" s="6">
        <v>32912.82</v>
      </c>
      <c r="E42" s="6">
        <v>10861.23</v>
      </c>
      <c r="F42" s="6">
        <v>10861.23</v>
      </c>
    </row>
    <row r="43" spans="1:6" x14ac:dyDescent="0.25">
      <c r="A43" t="str">
        <f>"012008"</f>
        <v>012008</v>
      </c>
      <c r="B43" t="s">
        <v>45</v>
      </c>
      <c r="C43">
        <v>18</v>
      </c>
      <c r="D43" s="6">
        <v>7693.91</v>
      </c>
      <c r="E43" s="6">
        <v>2538.9899999999998</v>
      </c>
      <c r="F43" s="6">
        <v>2538.9899999999998</v>
      </c>
    </row>
    <row r="44" spans="1:6" x14ac:dyDescent="0.25">
      <c r="A44" t="str">
        <f>"012508"</f>
        <v>012508</v>
      </c>
      <c r="B44" t="s">
        <v>46</v>
      </c>
      <c r="C44">
        <v>325</v>
      </c>
      <c r="D44" s="6">
        <v>138917.75</v>
      </c>
      <c r="E44" s="6">
        <v>45842.86</v>
      </c>
      <c r="F44" s="6">
        <v>45842.86</v>
      </c>
    </row>
    <row r="45" spans="1:6" x14ac:dyDescent="0.25">
      <c r="A45" t="str">
        <f>"012522"</f>
        <v>012522</v>
      </c>
      <c r="B45" t="s">
        <v>47</v>
      </c>
      <c r="C45">
        <v>25</v>
      </c>
      <c r="D45" s="6">
        <v>10685.98</v>
      </c>
      <c r="E45" s="6">
        <v>3526.37</v>
      </c>
      <c r="F45" s="6">
        <v>3526.38</v>
      </c>
    </row>
    <row r="46" spans="1:6" x14ac:dyDescent="0.25">
      <c r="A46" t="str">
        <f>"012900"</f>
        <v>012900</v>
      </c>
      <c r="B46" t="s">
        <v>48</v>
      </c>
      <c r="C46">
        <v>39</v>
      </c>
      <c r="D46" s="6">
        <v>12124.92</v>
      </c>
      <c r="E46" s="6">
        <v>4001.22</v>
      </c>
      <c r="F46" s="6">
        <v>4001.23</v>
      </c>
    </row>
    <row r="47" spans="1:6" x14ac:dyDescent="0.25">
      <c r="A47" t="str">
        <f>"012974"</f>
        <v>012974</v>
      </c>
      <c r="B47" t="s">
        <v>49</v>
      </c>
      <c r="C47">
        <v>97</v>
      </c>
      <c r="D47" s="6">
        <v>41461.599999999999</v>
      </c>
      <c r="E47" s="6">
        <v>13682.33</v>
      </c>
      <c r="F47" s="6">
        <v>13682.33</v>
      </c>
    </row>
    <row r="48" spans="1:6" x14ac:dyDescent="0.25">
      <c r="A48" t="str">
        <f>"012975"</f>
        <v>012975</v>
      </c>
      <c r="B48" t="s">
        <v>50</v>
      </c>
      <c r="C48">
        <v>54</v>
      </c>
      <c r="D48" s="6">
        <v>23081.72</v>
      </c>
      <c r="E48" s="6">
        <v>7616.97</v>
      </c>
      <c r="F48" s="6">
        <v>7616.97</v>
      </c>
    </row>
    <row r="49" spans="1:6" x14ac:dyDescent="0.25">
      <c r="A49" t="str">
        <f>"013208"</f>
        <v>013208</v>
      </c>
      <c r="B49" t="s">
        <v>23</v>
      </c>
      <c r="C49">
        <v>34</v>
      </c>
      <c r="D49" s="6">
        <v>14532.93</v>
      </c>
      <c r="E49" s="6">
        <v>4795.87</v>
      </c>
      <c r="F49" s="6">
        <v>4795.8599999999997</v>
      </c>
    </row>
    <row r="50" spans="1:6" x14ac:dyDescent="0.25">
      <c r="A50" t="str">
        <f>"013209"</f>
        <v>013209</v>
      </c>
      <c r="B50" t="s">
        <v>51</v>
      </c>
      <c r="C50">
        <v>211</v>
      </c>
      <c r="D50" s="6">
        <v>87807.13</v>
      </c>
      <c r="E50" s="6">
        <v>28976.35</v>
      </c>
      <c r="F50" s="6">
        <v>28976.36</v>
      </c>
    </row>
    <row r="51" spans="1:6" x14ac:dyDescent="0.25">
      <c r="A51" t="str">
        <f>"013257"</f>
        <v>013257</v>
      </c>
      <c r="B51" t="s">
        <v>52</v>
      </c>
      <c r="C51">
        <v>35</v>
      </c>
      <c r="D51" s="6">
        <v>14960.37</v>
      </c>
      <c r="E51" s="6">
        <v>4936.92</v>
      </c>
      <c r="F51" s="6">
        <v>4936.92</v>
      </c>
    </row>
    <row r="52" spans="1:6" x14ac:dyDescent="0.25">
      <c r="A52" t="str">
        <f>"013258"</f>
        <v>013258</v>
      </c>
      <c r="B52" t="s">
        <v>53</v>
      </c>
      <c r="C52">
        <v>59</v>
      </c>
      <c r="D52" s="6">
        <v>25218.91</v>
      </c>
      <c r="E52" s="6">
        <v>8322.24</v>
      </c>
      <c r="F52" s="6">
        <v>8322.24</v>
      </c>
    </row>
    <row r="53" spans="1:6" x14ac:dyDescent="0.25">
      <c r="A53" t="str">
        <f>"014040"</f>
        <v>014040</v>
      </c>
      <c r="B53" t="s">
        <v>54</v>
      </c>
      <c r="C53">
        <v>399</v>
      </c>
      <c r="D53" s="6">
        <v>170548.25</v>
      </c>
      <c r="E53" s="6">
        <v>56280.92</v>
      </c>
      <c r="F53" s="6">
        <v>56280.930000000008</v>
      </c>
    </row>
    <row r="54" spans="1:6" x14ac:dyDescent="0.25">
      <c r="A54" t="str">
        <f>"014110"</f>
        <v>014110</v>
      </c>
      <c r="B54" t="s">
        <v>55</v>
      </c>
      <c r="C54">
        <v>182</v>
      </c>
      <c r="D54" s="6">
        <v>77793.94</v>
      </c>
      <c r="E54" s="6">
        <v>25672</v>
      </c>
      <c r="F54" s="6">
        <v>25672</v>
      </c>
    </row>
    <row r="55" spans="1:6" x14ac:dyDescent="0.25">
      <c r="A55" t="str">
        <f>"014140"</f>
        <v>014140</v>
      </c>
      <c r="B55" t="s">
        <v>56</v>
      </c>
      <c r="C55">
        <v>82</v>
      </c>
      <c r="D55" s="6">
        <v>35050.019999999997</v>
      </c>
      <c r="E55" s="6">
        <v>11566.51</v>
      </c>
      <c r="F55" s="6">
        <v>11566.499999999998</v>
      </c>
    </row>
    <row r="56" spans="1:6" x14ac:dyDescent="0.25">
      <c r="A56" t="str">
        <f>"014157"</f>
        <v>014157</v>
      </c>
      <c r="B56" t="s">
        <v>57</v>
      </c>
      <c r="C56">
        <v>228</v>
      </c>
      <c r="D56" s="6">
        <v>97456.14</v>
      </c>
      <c r="E56" s="6">
        <v>32160.53</v>
      </c>
      <c r="F56" s="6">
        <v>32160.520000000004</v>
      </c>
    </row>
    <row r="57" spans="1:6" x14ac:dyDescent="0.25">
      <c r="A57" t="str">
        <f>"014173"</f>
        <v>014173</v>
      </c>
      <c r="B57" t="s">
        <v>58</v>
      </c>
      <c r="C57">
        <v>37</v>
      </c>
      <c r="D57" s="6">
        <v>15815.25</v>
      </c>
      <c r="E57" s="6">
        <v>5219.03</v>
      </c>
      <c r="F57" s="6">
        <v>5219.04</v>
      </c>
    </row>
    <row r="58" spans="1:6" x14ac:dyDescent="0.25">
      <c r="A58" t="str">
        <f>"015179"</f>
        <v>015179</v>
      </c>
      <c r="B58" t="s">
        <v>59</v>
      </c>
      <c r="C58">
        <v>20</v>
      </c>
      <c r="D58" s="6">
        <v>8548.7800000000007</v>
      </c>
      <c r="E58" s="6">
        <v>2821.1</v>
      </c>
      <c r="F58" s="6">
        <v>2821.0899999999997</v>
      </c>
    </row>
    <row r="59" spans="1:6" x14ac:dyDescent="0.25">
      <c r="A59" t="str">
        <f>"015331"</f>
        <v>015331</v>
      </c>
      <c r="B59" t="s">
        <v>60</v>
      </c>
      <c r="C59">
        <v>111</v>
      </c>
      <c r="D59" s="6">
        <v>47445.75</v>
      </c>
      <c r="E59" s="6">
        <v>15657.1</v>
      </c>
      <c r="F59" s="6">
        <v>15657.1</v>
      </c>
    </row>
    <row r="60" spans="1:6" x14ac:dyDescent="0.25">
      <c r="A60" t="str">
        <f>"015374"</f>
        <v>015374</v>
      </c>
      <c r="B60" t="s">
        <v>61</v>
      </c>
      <c r="C60">
        <v>15</v>
      </c>
      <c r="D60" s="6">
        <v>4341.4799999999996</v>
      </c>
      <c r="E60" s="6">
        <v>1432.69</v>
      </c>
      <c r="F60" s="6">
        <v>1432.69</v>
      </c>
    </row>
    <row r="61" spans="1:6" x14ac:dyDescent="0.25">
      <c r="A61" t="str">
        <f>"015489"</f>
        <v>015489</v>
      </c>
      <c r="B61" t="s">
        <v>62</v>
      </c>
      <c r="C61">
        <v>42</v>
      </c>
      <c r="D61" s="6">
        <v>17952.45</v>
      </c>
      <c r="E61" s="6">
        <v>5924.31</v>
      </c>
      <c r="F61" s="6">
        <v>5924.31</v>
      </c>
    </row>
    <row r="62" spans="1:6" x14ac:dyDescent="0.25">
      <c r="A62" t="str">
        <f>"015521"</f>
        <v>015521</v>
      </c>
      <c r="B62" t="s">
        <v>63</v>
      </c>
      <c r="C62">
        <v>93</v>
      </c>
      <c r="D62" s="6">
        <v>39751.85</v>
      </c>
      <c r="E62" s="6">
        <v>13118.11</v>
      </c>
      <c r="F62" s="6">
        <v>13118.11</v>
      </c>
    </row>
    <row r="63" spans="1:6" x14ac:dyDescent="0.25">
      <c r="A63" t="str">
        <f>"015557"</f>
        <v>015557</v>
      </c>
      <c r="B63" t="s">
        <v>64</v>
      </c>
      <c r="C63">
        <v>21</v>
      </c>
      <c r="D63" s="6">
        <v>8976.2199999999993</v>
      </c>
      <c r="E63" s="6">
        <v>2962.15</v>
      </c>
      <c r="F63" s="6">
        <v>2962.1600000000003</v>
      </c>
    </row>
    <row r="64" spans="1:6" x14ac:dyDescent="0.25">
      <c r="A64" t="str">
        <f>"015696"</f>
        <v>015696</v>
      </c>
      <c r="B64" t="s">
        <v>65</v>
      </c>
      <c r="C64">
        <v>61</v>
      </c>
      <c r="D64" s="6">
        <v>26073.79</v>
      </c>
      <c r="E64" s="6">
        <v>8604.35</v>
      </c>
      <c r="F64" s="6">
        <v>8604.35</v>
      </c>
    </row>
    <row r="65" spans="1:6" x14ac:dyDescent="0.25">
      <c r="A65" t="str">
        <f>"016119"</f>
        <v>016119</v>
      </c>
      <c r="B65" t="s">
        <v>66</v>
      </c>
      <c r="C65">
        <v>58</v>
      </c>
      <c r="D65" s="6">
        <v>24791.47</v>
      </c>
      <c r="E65" s="6">
        <v>8181.19</v>
      </c>
      <c r="F65" s="6">
        <v>8181.1800000000012</v>
      </c>
    </row>
    <row r="66" spans="1:6" x14ac:dyDescent="0.25">
      <c r="A66" t="str">
        <f>"016431"</f>
        <v>016431</v>
      </c>
      <c r="B66" t="s">
        <v>67</v>
      </c>
      <c r="C66">
        <v>25</v>
      </c>
      <c r="D66" s="6">
        <v>10685.98</v>
      </c>
      <c r="E66" s="6">
        <v>3526.37</v>
      </c>
      <c r="F66" s="6">
        <v>3526.38</v>
      </c>
    </row>
    <row r="67" spans="1:6" x14ac:dyDescent="0.25">
      <c r="A67" t="str">
        <f>"016433"</f>
        <v>016433</v>
      </c>
      <c r="B67" t="s">
        <v>68</v>
      </c>
      <c r="C67">
        <v>50</v>
      </c>
      <c r="D67" s="6">
        <v>21371.96</v>
      </c>
      <c r="E67" s="6">
        <v>7052.75</v>
      </c>
      <c r="F67" s="6">
        <v>7052.74</v>
      </c>
    </row>
    <row r="68" spans="1:6" x14ac:dyDescent="0.25">
      <c r="A68" t="str">
        <f>"016680"</f>
        <v>016680</v>
      </c>
      <c r="B68" t="s">
        <v>69</v>
      </c>
      <c r="C68">
        <v>79</v>
      </c>
      <c r="D68" s="6">
        <v>33767.699999999997</v>
      </c>
      <c r="E68" s="6">
        <v>11143.34</v>
      </c>
      <c r="F68" s="6">
        <v>11143.34</v>
      </c>
    </row>
    <row r="69" spans="1:6" x14ac:dyDescent="0.25">
      <c r="A69" t="str">
        <f>"016689"</f>
        <v>016689</v>
      </c>
      <c r="B69" t="s">
        <v>70</v>
      </c>
      <c r="C69">
        <v>112</v>
      </c>
      <c r="D69" s="6">
        <v>47873.19</v>
      </c>
      <c r="E69" s="6">
        <v>15798.15</v>
      </c>
      <c r="F69" s="6">
        <v>15798.160000000002</v>
      </c>
    </row>
    <row r="70" spans="1:6" x14ac:dyDescent="0.25">
      <c r="A70" t="str">
        <f>"016719"</f>
        <v>016719</v>
      </c>
      <c r="B70" t="s">
        <v>71</v>
      </c>
      <c r="C70">
        <v>55</v>
      </c>
      <c r="D70" s="6">
        <v>23509.16</v>
      </c>
      <c r="E70" s="6">
        <v>7758.02</v>
      </c>
      <c r="F70" s="6">
        <v>7758.0299999999988</v>
      </c>
    </row>
    <row r="71" spans="1:6" x14ac:dyDescent="0.25">
      <c r="A71" t="str">
        <f>"016974"</f>
        <v>016974</v>
      </c>
      <c r="B71" t="s">
        <v>72</v>
      </c>
      <c r="C71">
        <v>50</v>
      </c>
      <c r="D71" s="6">
        <v>21371.96</v>
      </c>
      <c r="E71" s="6">
        <v>7052.75</v>
      </c>
      <c r="F71" s="6">
        <v>7052.74</v>
      </c>
    </row>
    <row r="72" spans="1:6" x14ac:dyDescent="0.25">
      <c r="A72" t="str">
        <f>"016978"</f>
        <v>016978</v>
      </c>
      <c r="B72" t="s">
        <v>73</v>
      </c>
      <c r="C72">
        <v>27</v>
      </c>
      <c r="D72" s="6">
        <v>11540.86</v>
      </c>
      <c r="E72" s="6">
        <v>3808.48</v>
      </c>
      <c r="F72" s="6">
        <v>3808.4900000000002</v>
      </c>
    </row>
    <row r="73" spans="1:6" x14ac:dyDescent="0.25">
      <c r="A73" t="str">
        <f>"017029"</f>
        <v>017029</v>
      </c>
      <c r="B73" t="s">
        <v>74</v>
      </c>
      <c r="C73">
        <v>36</v>
      </c>
      <c r="D73" s="6">
        <v>15387.81</v>
      </c>
      <c r="E73" s="6">
        <v>5077.9799999999996</v>
      </c>
      <c r="F73" s="6">
        <v>5077.9700000000012</v>
      </c>
    </row>
    <row r="74" spans="1:6" x14ac:dyDescent="0.25">
      <c r="A74" t="str">
        <f>"017030"</f>
        <v>017030</v>
      </c>
      <c r="B74" t="s">
        <v>75</v>
      </c>
      <c r="C74">
        <v>107</v>
      </c>
      <c r="D74" s="6">
        <v>45736</v>
      </c>
      <c r="E74" s="6">
        <v>15092.88</v>
      </c>
      <c r="F74" s="6">
        <v>15092.88</v>
      </c>
    </row>
    <row r="75" spans="1:6" x14ac:dyDescent="0.25">
      <c r="A75" t="str">
        <f>"017151"</f>
        <v>017151</v>
      </c>
      <c r="B75" t="s">
        <v>76</v>
      </c>
      <c r="C75">
        <v>132</v>
      </c>
      <c r="D75" s="6">
        <v>56421.98</v>
      </c>
      <c r="E75" s="6">
        <v>18619.25</v>
      </c>
      <c r="F75" s="6">
        <v>18619.260000000002</v>
      </c>
    </row>
    <row r="76" spans="1:6" x14ac:dyDescent="0.25">
      <c r="A76" t="str">
        <f>"017153"</f>
        <v>017153</v>
      </c>
      <c r="B76" t="s">
        <v>77</v>
      </c>
      <c r="C76">
        <v>17</v>
      </c>
      <c r="D76" s="6">
        <v>7266.47</v>
      </c>
      <c r="E76" s="6">
        <v>2397.94</v>
      </c>
      <c r="F76" s="6">
        <v>2397.9299999999998</v>
      </c>
    </row>
    <row r="77" spans="1:6" x14ac:dyDescent="0.25">
      <c r="A77" t="str">
        <f>"017161"</f>
        <v>017161</v>
      </c>
      <c r="B77" t="s">
        <v>78</v>
      </c>
      <c r="C77">
        <v>7</v>
      </c>
      <c r="D77" s="6">
        <v>2992.07</v>
      </c>
      <c r="E77" s="6">
        <v>987.38</v>
      </c>
      <c r="F77" s="6">
        <v>987.39</v>
      </c>
    </row>
    <row r="78" spans="1:6" x14ac:dyDescent="0.25">
      <c r="A78" t="str">
        <f>"017232"</f>
        <v>017232</v>
      </c>
      <c r="B78" t="s">
        <v>79</v>
      </c>
      <c r="C78">
        <v>9</v>
      </c>
      <c r="D78" s="6">
        <v>3846.95</v>
      </c>
      <c r="E78" s="6">
        <v>1269.49</v>
      </c>
      <c r="F78" s="6">
        <v>1269.4999999999998</v>
      </c>
    </row>
    <row r="79" spans="1:6" x14ac:dyDescent="0.25">
      <c r="A79" t="str">
        <f>"017388"</f>
        <v>017388</v>
      </c>
      <c r="B79" t="s">
        <v>80</v>
      </c>
      <c r="C79">
        <v>44</v>
      </c>
      <c r="D79" s="6">
        <v>10829.67</v>
      </c>
      <c r="E79" s="6">
        <v>3573.79</v>
      </c>
      <c r="F79" s="6">
        <v>3573.79</v>
      </c>
    </row>
    <row r="80" spans="1:6" x14ac:dyDescent="0.25">
      <c r="A80" t="str">
        <f>"017431"</f>
        <v>017431</v>
      </c>
      <c r="B80" t="s">
        <v>81</v>
      </c>
      <c r="C80">
        <v>10</v>
      </c>
      <c r="D80" s="6">
        <v>4274.3900000000003</v>
      </c>
      <c r="E80" s="6">
        <v>1410.55</v>
      </c>
      <c r="F80" s="6">
        <v>1410.55</v>
      </c>
    </row>
    <row r="81" spans="1:6" x14ac:dyDescent="0.25">
      <c r="A81" t="str">
        <f>"052613"</f>
        <v>052613</v>
      </c>
      <c r="B81" t="s">
        <v>84</v>
      </c>
      <c r="C81">
        <v>257</v>
      </c>
      <c r="D81" s="6">
        <v>109851.88</v>
      </c>
      <c r="E81" s="6">
        <v>36251.120000000003</v>
      </c>
      <c r="F81" s="6">
        <v>36251.120000000003</v>
      </c>
    </row>
    <row r="82" spans="1:6" x14ac:dyDescent="0.25">
      <c r="A82" t="str">
        <f>"052621"</f>
        <v>052621</v>
      </c>
      <c r="B82" t="s">
        <v>85</v>
      </c>
      <c r="C82">
        <v>605</v>
      </c>
      <c r="D82" s="6">
        <v>258600.73</v>
      </c>
      <c r="E82" s="6">
        <v>85338.240000000005</v>
      </c>
      <c r="F82" s="6">
        <v>85338.240000000005</v>
      </c>
    </row>
    <row r="83" spans="1:6" x14ac:dyDescent="0.25">
      <c r="A83" t="str">
        <f>"052639"</f>
        <v>052639</v>
      </c>
      <c r="B83" t="s">
        <v>86</v>
      </c>
      <c r="C83">
        <v>836</v>
      </c>
      <c r="D83" s="6">
        <v>357339.19</v>
      </c>
      <c r="E83" s="6">
        <v>117921.93</v>
      </c>
      <c r="F83" s="6">
        <v>117921.94</v>
      </c>
    </row>
    <row r="84" spans="1:6" x14ac:dyDescent="0.25">
      <c r="A84" t="str">
        <f>"052647"</f>
        <v>052647</v>
      </c>
      <c r="B84" t="s">
        <v>87</v>
      </c>
      <c r="C84">
        <v>608</v>
      </c>
      <c r="D84" s="6">
        <v>259883.05</v>
      </c>
      <c r="E84" s="6">
        <v>85761.41</v>
      </c>
      <c r="F84" s="6">
        <v>85761.4</v>
      </c>
    </row>
    <row r="85" spans="1:6" x14ac:dyDescent="0.25">
      <c r="A85" t="str">
        <f>"052654"</f>
        <v>052654</v>
      </c>
      <c r="B85" t="s">
        <v>88</v>
      </c>
      <c r="C85">
        <v>311</v>
      </c>
      <c r="D85" s="6">
        <v>132933.6</v>
      </c>
      <c r="E85" s="6">
        <v>43868.09</v>
      </c>
      <c r="F85" s="6">
        <v>43868.09</v>
      </c>
    </row>
    <row r="86" spans="1:6" x14ac:dyDescent="0.25">
      <c r="A86" t="str">
        <f>"052662"</f>
        <v>052662</v>
      </c>
      <c r="B86" t="s">
        <v>89</v>
      </c>
      <c r="C86">
        <v>343</v>
      </c>
      <c r="D86" s="6">
        <v>146611.65</v>
      </c>
      <c r="E86" s="6">
        <v>48381.84</v>
      </c>
      <c r="F86" s="6">
        <v>48381.850000000006</v>
      </c>
    </row>
    <row r="87" spans="1:6" x14ac:dyDescent="0.25">
      <c r="A87" t="str">
        <f>"052670"</f>
        <v>052670</v>
      </c>
      <c r="B87" t="s">
        <v>90</v>
      </c>
      <c r="C87">
        <v>165</v>
      </c>
      <c r="D87" s="6">
        <v>64605.56</v>
      </c>
      <c r="E87" s="6">
        <v>21319.83</v>
      </c>
      <c r="F87" s="6">
        <v>21319.839999999997</v>
      </c>
    </row>
    <row r="88" spans="1:6" x14ac:dyDescent="0.25">
      <c r="A88" t="str">
        <f>"052696"</f>
        <v>052696</v>
      </c>
      <c r="B88" t="s">
        <v>91</v>
      </c>
      <c r="C88">
        <v>686</v>
      </c>
      <c r="D88" s="6">
        <v>293223.3</v>
      </c>
      <c r="E88" s="6">
        <v>96763.69</v>
      </c>
      <c r="F88" s="6">
        <v>96763.69</v>
      </c>
    </row>
    <row r="89" spans="1:6" x14ac:dyDescent="0.25">
      <c r="A89" t="str">
        <f>"052704"</f>
        <v>052704</v>
      </c>
      <c r="B89" t="s">
        <v>92</v>
      </c>
      <c r="C89">
        <v>392</v>
      </c>
      <c r="D89" s="6">
        <v>167556.17000000001</v>
      </c>
      <c r="E89" s="6">
        <v>55293.54</v>
      </c>
      <c r="F89" s="6">
        <v>55293.530000000006</v>
      </c>
    </row>
    <row r="90" spans="1:6" x14ac:dyDescent="0.25">
      <c r="A90" t="str">
        <f>"052712"</f>
        <v>052712</v>
      </c>
      <c r="B90" t="s">
        <v>93</v>
      </c>
      <c r="C90">
        <v>124</v>
      </c>
      <c r="D90" s="6">
        <v>53002.46</v>
      </c>
      <c r="E90" s="6">
        <v>17490.810000000001</v>
      </c>
      <c r="F90" s="6">
        <v>17490.810000000001</v>
      </c>
    </row>
    <row r="91" spans="1:6" x14ac:dyDescent="0.25">
      <c r="A91" t="str">
        <f>"052720"</f>
        <v>052720</v>
      </c>
      <c r="B91" t="s">
        <v>94</v>
      </c>
      <c r="C91">
        <v>904</v>
      </c>
      <c r="D91" s="6">
        <v>386405.05</v>
      </c>
      <c r="E91" s="6">
        <v>127513.67</v>
      </c>
      <c r="F91" s="6">
        <v>127513.65999999999</v>
      </c>
    </row>
    <row r="92" spans="1:6" x14ac:dyDescent="0.25">
      <c r="A92" t="str">
        <f>"052779"</f>
        <v>052779</v>
      </c>
      <c r="B92" t="s">
        <v>95</v>
      </c>
      <c r="C92">
        <v>436</v>
      </c>
      <c r="D92" s="6">
        <v>186363.5</v>
      </c>
      <c r="E92" s="6">
        <v>61499.96</v>
      </c>
      <c r="F92" s="6">
        <v>61499.950000000004</v>
      </c>
    </row>
    <row r="93" spans="1:6" x14ac:dyDescent="0.25">
      <c r="A93" t="str">
        <f>"052787"</f>
        <v>052787</v>
      </c>
      <c r="B93" t="s">
        <v>96</v>
      </c>
      <c r="C93">
        <v>423</v>
      </c>
      <c r="D93" s="6">
        <v>180806.79</v>
      </c>
      <c r="E93" s="6">
        <v>59666.239999999998</v>
      </c>
      <c r="F93" s="6">
        <v>59666.239999999998</v>
      </c>
    </row>
    <row r="94" spans="1:6" x14ac:dyDescent="0.25">
      <c r="A94" t="str">
        <f>"052795"</f>
        <v>052795</v>
      </c>
      <c r="B94" t="s">
        <v>97</v>
      </c>
      <c r="C94">
        <v>422</v>
      </c>
      <c r="D94" s="6">
        <v>180379.35</v>
      </c>
      <c r="E94" s="6">
        <v>59525.19</v>
      </c>
      <c r="F94" s="6">
        <v>59525.179999999993</v>
      </c>
    </row>
    <row r="95" spans="1:6" x14ac:dyDescent="0.25">
      <c r="A95" t="str">
        <f>"052803"</f>
        <v>052803</v>
      </c>
      <c r="B95" t="s">
        <v>98</v>
      </c>
      <c r="C95">
        <v>766</v>
      </c>
      <c r="D95" s="6">
        <v>327418.44</v>
      </c>
      <c r="E95" s="6">
        <v>108048.09</v>
      </c>
      <c r="F95" s="6">
        <v>108048.08000000002</v>
      </c>
    </row>
    <row r="96" spans="1:6" x14ac:dyDescent="0.25">
      <c r="A96" t="str">
        <f>"052829"</f>
        <v>052829</v>
      </c>
      <c r="B96" t="s">
        <v>99</v>
      </c>
      <c r="C96">
        <v>491</v>
      </c>
      <c r="D96" s="6">
        <v>209872.66</v>
      </c>
      <c r="E96" s="6">
        <v>69257.98</v>
      </c>
      <c r="F96" s="6">
        <v>69257.98</v>
      </c>
    </row>
    <row r="97" spans="1:6" x14ac:dyDescent="0.25">
      <c r="A97" t="str">
        <f>"052837"</f>
        <v>052837</v>
      </c>
      <c r="B97" t="s">
        <v>99</v>
      </c>
      <c r="C97">
        <v>219</v>
      </c>
      <c r="D97" s="6">
        <v>93609.19</v>
      </c>
      <c r="E97" s="6">
        <v>30891.03</v>
      </c>
      <c r="F97" s="6">
        <v>30891.040000000001</v>
      </c>
    </row>
    <row r="98" spans="1:6" x14ac:dyDescent="0.25">
      <c r="A98" t="str">
        <f>"052845"</f>
        <v>052845</v>
      </c>
      <c r="B98" t="s">
        <v>100</v>
      </c>
      <c r="C98">
        <v>325</v>
      </c>
      <c r="D98" s="6">
        <v>138917.75</v>
      </c>
      <c r="E98" s="6">
        <v>45842.86</v>
      </c>
      <c r="F98" s="6">
        <v>45842.86</v>
      </c>
    </row>
    <row r="99" spans="1:6" x14ac:dyDescent="0.25">
      <c r="A99" t="str">
        <f>"052852"</f>
        <v>052852</v>
      </c>
      <c r="B99" t="s">
        <v>100</v>
      </c>
      <c r="C99">
        <v>565</v>
      </c>
      <c r="D99" s="6">
        <v>241503.16</v>
      </c>
      <c r="E99" s="6">
        <v>79696.039999999994</v>
      </c>
      <c r="F99" s="6">
        <v>79696.05</v>
      </c>
    </row>
    <row r="100" spans="1:6" x14ac:dyDescent="0.25">
      <c r="A100" t="str">
        <f>"052860"</f>
        <v>052860</v>
      </c>
      <c r="B100" t="s">
        <v>101</v>
      </c>
      <c r="C100">
        <v>274</v>
      </c>
      <c r="D100" s="6">
        <v>117118.35</v>
      </c>
      <c r="E100" s="6">
        <v>38649.06</v>
      </c>
      <c r="F100" s="6">
        <v>38649.050000000003</v>
      </c>
    </row>
    <row r="101" spans="1:6" x14ac:dyDescent="0.25">
      <c r="A101" t="str">
        <f>"052878"</f>
        <v>052878</v>
      </c>
      <c r="B101" t="s">
        <v>102</v>
      </c>
      <c r="C101">
        <v>659</v>
      </c>
      <c r="D101" s="6">
        <v>281682.45</v>
      </c>
      <c r="E101" s="6">
        <v>92955.21</v>
      </c>
      <c r="F101" s="6">
        <v>92955.21</v>
      </c>
    </row>
    <row r="102" spans="1:6" x14ac:dyDescent="0.25">
      <c r="A102" t="str">
        <f>"052894"</f>
        <v>052894</v>
      </c>
      <c r="B102" t="s">
        <v>103</v>
      </c>
      <c r="C102">
        <v>693</v>
      </c>
      <c r="D102" s="6">
        <v>296215.38</v>
      </c>
      <c r="E102" s="6">
        <v>97751.08</v>
      </c>
      <c r="F102" s="6">
        <v>97751.069999999992</v>
      </c>
    </row>
    <row r="103" spans="1:6" x14ac:dyDescent="0.25">
      <c r="A103" t="str">
        <f>"052902"</f>
        <v>052902</v>
      </c>
      <c r="B103" t="s">
        <v>104</v>
      </c>
      <c r="C103">
        <v>827</v>
      </c>
      <c r="D103" s="6">
        <v>353492.23</v>
      </c>
      <c r="E103" s="6">
        <v>116652.44</v>
      </c>
      <c r="F103" s="6">
        <v>116652.43</v>
      </c>
    </row>
    <row r="104" spans="1:6" x14ac:dyDescent="0.25">
      <c r="A104" t="str">
        <f>"052910"</f>
        <v>052910</v>
      </c>
      <c r="B104" t="s">
        <v>105</v>
      </c>
      <c r="C104">
        <v>1065</v>
      </c>
      <c r="D104" s="6">
        <v>455222.77</v>
      </c>
      <c r="E104" s="6">
        <v>150223.51</v>
      </c>
      <c r="F104" s="6">
        <v>150223.52000000002</v>
      </c>
    </row>
    <row r="105" spans="1:6" x14ac:dyDescent="0.25">
      <c r="A105" t="str">
        <f>"052928"</f>
        <v>052928</v>
      </c>
      <c r="B105" t="s">
        <v>106</v>
      </c>
      <c r="C105">
        <v>529</v>
      </c>
      <c r="D105" s="6">
        <v>226115.35</v>
      </c>
      <c r="E105" s="6">
        <v>74618.070000000007</v>
      </c>
      <c r="F105" s="6">
        <v>74618.06</v>
      </c>
    </row>
    <row r="106" spans="1:6" x14ac:dyDescent="0.25">
      <c r="A106" t="str">
        <f>"052936"</f>
        <v>052936</v>
      </c>
      <c r="B106" t="s">
        <v>107</v>
      </c>
      <c r="C106">
        <v>402</v>
      </c>
      <c r="D106" s="6">
        <v>171830.57</v>
      </c>
      <c r="E106" s="6">
        <v>56704.09</v>
      </c>
      <c r="F106" s="6">
        <v>56704.09</v>
      </c>
    </row>
    <row r="107" spans="1:6" x14ac:dyDescent="0.25">
      <c r="A107" t="str">
        <f>"052951"</f>
        <v>052951</v>
      </c>
      <c r="B107" t="s">
        <v>108</v>
      </c>
      <c r="C107">
        <v>757</v>
      </c>
      <c r="D107" s="6">
        <v>323571.49</v>
      </c>
      <c r="E107" s="6">
        <v>106778.59</v>
      </c>
      <c r="F107" s="6">
        <v>106778.59</v>
      </c>
    </row>
    <row r="108" spans="1:6" x14ac:dyDescent="0.25">
      <c r="A108" t="str">
        <f>"052969"</f>
        <v>052969</v>
      </c>
      <c r="B108" t="s">
        <v>109</v>
      </c>
      <c r="C108">
        <v>395</v>
      </c>
      <c r="D108" s="6">
        <v>168838.49</v>
      </c>
      <c r="E108" s="6">
        <v>55716.7</v>
      </c>
      <c r="F108" s="6">
        <v>55716.7</v>
      </c>
    </row>
    <row r="109" spans="1:6" x14ac:dyDescent="0.25">
      <c r="A109" t="str">
        <f>"052977"</f>
        <v>052977</v>
      </c>
      <c r="B109" t="s">
        <v>110</v>
      </c>
      <c r="C109">
        <v>534</v>
      </c>
      <c r="D109" s="6">
        <v>215290.66</v>
      </c>
      <c r="E109" s="6">
        <v>71045.919999999998</v>
      </c>
      <c r="F109" s="6">
        <v>71045.919999999998</v>
      </c>
    </row>
    <row r="110" spans="1:6" x14ac:dyDescent="0.25">
      <c r="A110" t="str">
        <f>"052993"</f>
        <v>052993</v>
      </c>
      <c r="B110" t="s">
        <v>111</v>
      </c>
      <c r="C110">
        <v>534</v>
      </c>
      <c r="D110" s="6">
        <v>228252.54</v>
      </c>
      <c r="E110" s="6">
        <v>75323.34</v>
      </c>
      <c r="F110" s="6">
        <v>75323.34</v>
      </c>
    </row>
    <row r="111" spans="1:6" x14ac:dyDescent="0.25">
      <c r="A111" t="str">
        <f>"053009"</f>
        <v>053009</v>
      </c>
      <c r="B111" t="s">
        <v>112</v>
      </c>
      <c r="C111">
        <v>150</v>
      </c>
      <c r="D111" s="6">
        <v>53719.91</v>
      </c>
      <c r="E111" s="6">
        <v>17727.57</v>
      </c>
      <c r="F111" s="6">
        <v>17727.57</v>
      </c>
    </row>
    <row r="112" spans="1:6" x14ac:dyDescent="0.25">
      <c r="A112" t="str">
        <f>"053033"</f>
        <v>053033</v>
      </c>
      <c r="B112" t="s">
        <v>113</v>
      </c>
      <c r="C112">
        <v>744</v>
      </c>
      <c r="D112" s="6">
        <v>318014.78000000003</v>
      </c>
      <c r="E112" s="6">
        <v>104944.88</v>
      </c>
      <c r="F112" s="6">
        <v>104944.87</v>
      </c>
    </row>
    <row r="113" spans="1:6" x14ac:dyDescent="0.25">
      <c r="A113" t="str">
        <f>"053041"</f>
        <v>053041</v>
      </c>
      <c r="B113" t="s">
        <v>114</v>
      </c>
      <c r="C113">
        <v>507</v>
      </c>
      <c r="D113" s="6">
        <v>216711.67999999999</v>
      </c>
      <c r="E113" s="6">
        <v>71514.850000000006</v>
      </c>
      <c r="F113" s="6">
        <v>71514.859999999986</v>
      </c>
    </row>
    <row r="114" spans="1:6" x14ac:dyDescent="0.25">
      <c r="A114" t="str">
        <f>"053058"</f>
        <v>053058</v>
      </c>
      <c r="B114" t="s">
        <v>115</v>
      </c>
      <c r="C114">
        <v>562</v>
      </c>
      <c r="D114" s="6">
        <v>240220.84</v>
      </c>
      <c r="E114" s="6">
        <v>79272.88</v>
      </c>
      <c r="F114" s="6">
        <v>79272.87</v>
      </c>
    </row>
    <row r="115" spans="1:6" x14ac:dyDescent="0.25">
      <c r="A115" t="str">
        <f>"053082"</f>
        <v>053082</v>
      </c>
      <c r="B115" t="s">
        <v>116</v>
      </c>
      <c r="C115">
        <v>177</v>
      </c>
      <c r="D115" s="6">
        <v>75656.740000000005</v>
      </c>
      <c r="E115" s="6">
        <v>24966.720000000001</v>
      </c>
      <c r="F115" s="6">
        <v>24966.729999999996</v>
      </c>
    </row>
    <row r="116" spans="1:6" x14ac:dyDescent="0.25">
      <c r="A116" t="str">
        <f>"053116"</f>
        <v>053116</v>
      </c>
      <c r="B116" t="s">
        <v>117</v>
      </c>
      <c r="C116">
        <v>151</v>
      </c>
      <c r="D116" s="6">
        <v>64543.32</v>
      </c>
      <c r="E116" s="6">
        <v>21299.3</v>
      </c>
      <c r="F116" s="6">
        <v>21299.289999999997</v>
      </c>
    </row>
    <row r="117" spans="1:6" x14ac:dyDescent="0.25">
      <c r="A117" t="str">
        <f>"053124"</f>
        <v>053124</v>
      </c>
      <c r="B117" t="s">
        <v>118</v>
      </c>
      <c r="C117">
        <v>313</v>
      </c>
      <c r="D117" s="6">
        <v>133788.48000000001</v>
      </c>
      <c r="E117" s="6">
        <v>44150.2</v>
      </c>
      <c r="F117" s="6">
        <v>44150.2</v>
      </c>
    </row>
    <row r="118" spans="1:6" x14ac:dyDescent="0.25">
      <c r="A118" t="str">
        <f>"053140"</f>
        <v>053140</v>
      </c>
      <c r="B118" t="s">
        <v>119</v>
      </c>
      <c r="C118">
        <v>591</v>
      </c>
      <c r="D118" s="6">
        <v>252616.58</v>
      </c>
      <c r="E118" s="6">
        <v>83363.47</v>
      </c>
      <c r="F118" s="6">
        <v>83363.47</v>
      </c>
    </row>
    <row r="119" spans="1:6" x14ac:dyDescent="0.25">
      <c r="A119" t="str">
        <f>"053165"</f>
        <v>053165</v>
      </c>
      <c r="B119" t="s">
        <v>120</v>
      </c>
      <c r="C119">
        <v>279</v>
      </c>
      <c r="D119" s="6">
        <v>119255.54</v>
      </c>
      <c r="E119" s="6">
        <v>39354.33</v>
      </c>
      <c r="F119" s="6">
        <v>39354.33</v>
      </c>
    </row>
    <row r="120" spans="1:6" x14ac:dyDescent="0.25">
      <c r="A120" t="str">
        <f>"053199"</f>
        <v>053199</v>
      </c>
      <c r="B120" t="s">
        <v>121</v>
      </c>
      <c r="C120">
        <v>323</v>
      </c>
      <c r="D120" s="6">
        <v>138062.87</v>
      </c>
      <c r="E120" s="6">
        <v>45560.75</v>
      </c>
      <c r="F120" s="6">
        <v>45560.740000000005</v>
      </c>
    </row>
    <row r="121" spans="1:6" x14ac:dyDescent="0.25">
      <c r="A121" t="str">
        <f>"053207"</f>
        <v>053207</v>
      </c>
      <c r="B121" t="s">
        <v>122</v>
      </c>
      <c r="C121">
        <v>463</v>
      </c>
      <c r="D121" s="6">
        <v>197904.36</v>
      </c>
      <c r="E121" s="6">
        <v>65308.44</v>
      </c>
      <c r="F121" s="6">
        <v>65308.44</v>
      </c>
    </row>
    <row r="122" spans="1:6" x14ac:dyDescent="0.25">
      <c r="A122" t="str">
        <f>"053215"</f>
        <v>053215</v>
      </c>
      <c r="B122" t="s">
        <v>123</v>
      </c>
      <c r="C122">
        <v>680</v>
      </c>
      <c r="D122" s="6">
        <v>290658.67</v>
      </c>
      <c r="E122" s="6">
        <v>95917.36</v>
      </c>
      <c r="F122" s="6">
        <v>95917.36</v>
      </c>
    </row>
    <row r="123" spans="1:6" x14ac:dyDescent="0.25">
      <c r="A123" t="str">
        <f>"053256"</f>
        <v>053256</v>
      </c>
      <c r="B123" t="s">
        <v>124</v>
      </c>
      <c r="C123">
        <v>360</v>
      </c>
      <c r="D123" s="6">
        <v>153878.12</v>
      </c>
      <c r="E123" s="6">
        <v>50779.78</v>
      </c>
      <c r="F123" s="6">
        <v>50779.78</v>
      </c>
    </row>
    <row r="124" spans="1:6" x14ac:dyDescent="0.25">
      <c r="A124" t="str">
        <f>"053272"</f>
        <v>053272</v>
      </c>
      <c r="B124" t="s">
        <v>125</v>
      </c>
      <c r="C124">
        <v>704</v>
      </c>
      <c r="D124" s="6">
        <v>300917.21000000002</v>
      </c>
      <c r="E124" s="6">
        <v>99302.68</v>
      </c>
      <c r="F124" s="6">
        <v>99302.68</v>
      </c>
    </row>
    <row r="125" spans="1:6" x14ac:dyDescent="0.25">
      <c r="A125" t="str">
        <f>"053298"</f>
        <v>053298</v>
      </c>
      <c r="B125" t="s">
        <v>126</v>
      </c>
      <c r="C125">
        <v>544</v>
      </c>
      <c r="D125" s="6">
        <v>232526.94</v>
      </c>
      <c r="E125" s="6">
        <v>76733.89</v>
      </c>
      <c r="F125" s="6">
        <v>76733.89</v>
      </c>
    </row>
    <row r="126" spans="1:6" x14ac:dyDescent="0.25">
      <c r="A126" t="str">
        <f>"053306"</f>
        <v>053306</v>
      </c>
      <c r="B126" t="s">
        <v>127</v>
      </c>
      <c r="C126">
        <v>867</v>
      </c>
      <c r="D126" s="6">
        <v>370589.8</v>
      </c>
      <c r="E126" s="6">
        <v>122294.63</v>
      </c>
      <c r="F126" s="6">
        <v>122294.63999999998</v>
      </c>
    </row>
    <row r="127" spans="1:6" x14ac:dyDescent="0.25">
      <c r="A127" t="str">
        <f>"053322"</f>
        <v>053322</v>
      </c>
      <c r="B127" t="s">
        <v>128</v>
      </c>
      <c r="C127">
        <v>722</v>
      </c>
      <c r="D127" s="6">
        <v>308611.12</v>
      </c>
      <c r="E127" s="6">
        <v>101841.67</v>
      </c>
      <c r="F127" s="6">
        <v>101841.67</v>
      </c>
    </row>
    <row r="128" spans="1:6" x14ac:dyDescent="0.25">
      <c r="A128" t="str">
        <f>"053348"</f>
        <v>053348</v>
      </c>
      <c r="B128" t="s">
        <v>129</v>
      </c>
      <c r="C128">
        <v>587</v>
      </c>
      <c r="D128" s="6">
        <v>250906.82</v>
      </c>
      <c r="E128" s="6">
        <v>82799.25</v>
      </c>
      <c r="F128" s="6">
        <v>82799.25</v>
      </c>
    </row>
    <row r="129" spans="1:6" x14ac:dyDescent="0.25">
      <c r="A129" t="str">
        <f>"053355"</f>
        <v>053355</v>
      </c>
      <c r="B129" t="s">
        <v>130</v>
      </c>
      <c r="C129">
        <v>215</v>
      </c>
      <c r="D129" s="6">
        <v>91899.43</v>
      </c>
      <c r="E129" s="6">
        <v>30326.81</v>
      </c>
      <c r="F129" s="6">
        <v>30326.81</v>
      </c>
    </row>
    <row r="130" spans="1:6" x14ac:dyDescent="0.25">
      <c r="A130" t="str">
        <f>"053363"</f>
        <v>053363</v>
      </c>
      <c r="B130" t="s">
        <v>131</v>
      </c>
      <c r="C130">
        <v>132</v>
      </c>
      <c r="D130" s="6">
        <v>56421.98</v>
      </c>
      <c r="E130" s="6">
        <v>18619.25</v>
      </c>
      <c r="F130" s="6">
        <v>18619.260000000002</v>
      </c>
    </row>
    <row r="131" spans="1:6" x14ac:dyDescent="0.25">
      <c r="A131" t="str">
        <f>"053371"</f>
        <v>053371</v>
      </c>
      <c r="B131" t="s">
        <v>132</v>
      </c>
      <c r="C131">
        <v>703</v>
      </c>
      <c r="D131" s="6">
        <v>300489.77</v>
      </c>
      <c r="E131" s="6">
        <v>99161.62</v>
      </c>
      <c r="F131" s="6">
        <v>99161.63</v>
      </c>
    </row>
    <row r="132" spans="1:6" x14ac:dyDescent="0.25">
      <c r="A132" t="str">
        <f>"053389"</f>
        <v>053389</v>
      </c>
      <c r="B132" t="s">
        <v>133</v>
      </c>
      <c r="C132">
        <v>583</v>
      </c>
      <c r="D132" s="6">
        <v>249197.06</v>
      </c>
      <c r="E132" s="6">
        <v>82235.03</v>
      </c>
      <c r="F132" s="6">
        <v>82235.03</v>
      </c>
    </row>
    <row r="133" spans="1:6" x14ac:dyDescent="0.25">
      <c r="A133" t="str">
        <f>"053439"</f>
        <v>053439</v>
      </c>
      <c r="B133" t="s">
        <v>134</v>
      </c>
      <c r="C133">
        <v>757</v>
      </c>
      <c r="D133" s="6">
        <v>323571.49</v>
      </c>
      <c r="E133" s="6">
        <v>106778.59</v>
      </c>
      <c r="F133" s="6">
        <v>106778.59</v>
      </c>
    </row>
    <row r="134" spans="1:6" x14ac:dyDescent="0.25">
      <c r="A134" t="str">
        <f>"053454"</f>
        <v>053454</v>
      </c>
      <c r="B134" t="s">
        <v>135</v>
      </c>
      <c r="C134">
        <v>329</v>
      </c>
      <c r="D134" s="6">
        <v>140627.5</v>
      </c>
      <c r="E134" s="6">
        <v>46407.08</v>
      </c>
      <c r="F134" s="6">
        <v>46407.069999999992</v>
      </c>
    </row>
    <row r="135" spans="1:6" x14ac:dyDescent="0.25">
      <c r="A135" t="str">
        <f>"053488"</f>
        <v>053488</v>
      </c>
      <c r="B135" t="s">
        <v>136</v>
      </c>
      <c r="C135">
        <v>504</v>
      </c>
      <c r="D135" s="6">
        <v>215429.37</v>
      </c>
      <c r="E135" s="6">
        <v>71091.69</v>
      </c>
      <c r="F135" s="6">
        <v>71091.69</v>
      </c>
    </row>
    <row r="136" spans="1:6" x14ac:dyDescent="0.25">
      <c r="A136" t="str">
        <f>"053496"</f>
        <v>053496</v>
      </c>
      <c r="B136" t="s">
        <v>137</v>
      </c>
      <c r="C136">
        <v>15</v>
      </c>
      <c r="D136" s="6">
        <v>3058.98</v>
      </c>
      <c r="E136" s="6">
        <v>1009.46</v>
      </c>
      <c r="F136" s="6">
        <v>1009.47</v>
      </c>
    </row>
    <row r="137" spans="1:6" x14ac:dyDescent="0.25">
      <c r="A137" t="str">
        <f>"053520"</f>
        <v>053520</v>
      </c>
      <c r="B137" t="s">
        <v>138</v>
      </c>
      <c r="C137">
        <v>625</v>
      </c>
      <c r="D137" s="6">
        <v>256235.67</v>
      </c>
      <c r="E137" s="6">
        <v>84557.77</v>
      </c>
      <c r="F137" s="6">
        <v>84557.77</v>
      </c>
    </row>
    <row r="138" spans="1:6" x14ac:dyDescent="0.25">
      <c r="A138" t="str">
        <f>"053546"</f>
        <v>053546</v>
      </c>
      <c r="B138" t="s">
        <v>139</v>
      </c>
      <c r="C138">
        <v>938</v>
      </c>
      <c r="D138" s="6">
        <v>400937.99</v>
      </c>
      <c r="E138" s="6">
        <v>132309.54</v>
      </c>
      <c r="F138" s="6">
        <v>132309.53</v>
      </c>
    </row>
    <row r="139" spans="1:6" x14ac:dyDescent="0.25">
      <c r="A139" t="str">
        <f>"053587"</f>
        <v>053587</v>
      </c>
      <c r="B139" t="s">
        <v>140</v>
      </c>
      <c r="C139">
        <v>872</v>
      </c>
      <c r="D139" s="6">
        <v>372727</v>
      </c>
      <c r="E139" s="6">
        <v>122999.91</v>
      </c>
      <c r="F139" s="6">
        <v>122999.91</v>
      </c>
    </row>
    <row r="140" spans="1:6" x14ac:dyDescent="0.25">
      <c r="A140" t="str">
        <f>"053595"</f>
        <v>053595</v>
      </c>
      <c r="B140" t="s">
        <v>141</v>
      </c>
      <c r="C140">
        <v>648</v>
      </c>
      <c r="D140" s="6">
        <v>276980.61</v>
      </c>
      <c r="E140" s="6">
        <v>91403.6</v>
      </c>
      <c r="F140" s="6">
        <v>91403.6</v>
      </c>
    </row>
    <row r="141" spans="1:6" x14ac:dyDescent="0.25">
      <c r="A141" t="str">
        <f>"053611"</f>
        <v>053611</v>
      </c>
      <c r="B141" t="s">
        <v>142</v>
      </c>
      <c r="C141">
        <v>349</v>
      </c>
      <c r="D141" s="6">
        <v>149176.29</v>
      </c>
      <c r="E141" s="6">
        <v>49228.18</v>
      </c>
      <c r="F141" s="6">
        <v>49228.170000000006</v>
      </c>
    </row>
    <row r="142" spans="1:6" x14ac:dyDescent="0.25">
      <c r="A142" t="str">
        <f>"053629"</f>
        <v>053629</v>
      </c>
      <c r="B142" t="s">
        <v>143</v>
      </c>
      <c r="C142">
        <v>1514</v>
      </c>
      <c r="D142" s="6">
        <v>647142.98</v>
      </c>
      <c r="E142" s="6">
        <v>213557.18</v>
      </c>
      <c r="F142" s="6">
        <v>213557.19</v>
      </c>
    </row>
    <row r="143" spans="1:6" x14ac:dyDescent="0.25">
      <c r="A143" t="str">
        <f>"053637"</f>
        <v>053637</v>
      </c>
      <c r="B143" t="s">
        <v>144</v>
      </c>
      <c r="C143">
        <v>408</v>
      </c>
      <c r="D143" s="6">
        <v>174395.2</v>
      </c>
      <c r="E143" s="6">
        <v>57550.42</v>
      </c>
      <c r="F143" s="6">
        <v>57550.41</v>
      </c>
    </row>
    <row r="144" spans="1:6" x14ac:dyDescent="0.25">
      <c r="A144" t="str">
        <f>"053645"</f>
        <v>053645</v>
      </c>
      <c r="B144" t="s">
        <v>145</v>
      </c>
      <c r="C144">
        <v>590</v>
      </c>
      <c r="D144" s="6">
        <v>252189.14</v>
      </c>
      <c r="E144" s="6">
        <v>83222.42</v>
      </c>
      <c r="F144" s="6">
        <v>83222.409999999989</v>
      </c>
    </row>
    <row r="145" spans="1:6" x14ac:dyDescent="0.25">
      <c r="A145" t="str">
        <f>"053652"</f>
        <v>053652</v>
      </c>
      <c r="B145" t="s">
        <v>146</v>
      </c>
      <c r="C145">
        <v>40</v>
      </c>
      <c r="D145" s="6">
        <v>17097.57</v>
      </c>
      <c r="E145" s="6">
        <v>5642.2</v>
      </c>
      <c r="F145" s="6">
        <v>5642.2</v>
      </c>
    </row>
    <row r="146" spans="1:6" x14ac:dyDescent="0.25">
      <c r="A146" t="str">
        <f>"053660"</f>
        <v>053660</v>
      </c>
      <c r="B146" t="s">
        <v>147</v>
      </c>
      <c r="C146">
        <v>461</v>
      </c>
      <c r="D146" s="6">
        <v>197049.48</v>
      </c>
      <c r="E146" s="6">
        <v>65026.33</v>
      </c>
      <c r="F146" s="6">
        <v>65026.33</v>
      </c>
    </row>
    <row r="147" spans="1:6" x14ac:dyDescent="0.25">
      <c r="A147" t="str">
        <f>"053686"</f>
        <v>053686</v>
      </c>
      <c r="B147" t="s">
        <v>148</v>
      </c>
      <c r="C147">
        <v>434</v>
      </c>
      <c r="D147" s="6">
        <v>185508.62</v>
      </c>
      <c r="E147" s="6">
        <v>61217.84</v>
      </c>
      <c r="F147" s="6">
        <v>61217.850000000006</v>
      </c>
    </row>
    <row r="148" spans="1:6" x14ac:dyDescent="0.25">
      <c r="A148" t="str">
        <f>"053702"</f>
        <v>053702</v>
      </c>
      <c r="B148" t="s">
        <v>149</v>
      </c>
      <c r="C148">
        <v>717</v>
      </c>
      <c r="D148" s="6">
        <v>306473.92</v>
      </c>
      <c r="E148" s="6">
        <v>101136.39</v>
      </c>
      <c r="F148" s="6">
        <v>101136.40000000001</v>
      </c>
    </row>
    <row r="149" spans="1:6" x14ac:dyDescent="0.25">
      <c r="A149" t="str">
        <f>"053728"</f>
        <v>053728</v>
      </c>
      <c r="B149" t="s">
        <v>150</v>
      </c>
      <c r="C149">
        <v>68</v>
      </c>
      <c r="D149" s="6">
        <v>29065.87</v>
      </c>
      <c r="E149" s="6">
        <v>9591.74</v>
      </c>
      <c r="F149" s="6">
        <v>9591.7300000000014</v>
      </c>
    </row>
    <row r="150" spans="1:6" x14ac:dyDescent="0.25">
      <c r="A150" t="str">
        <f>"053751"</f>
        <v>053751</v>
      </c>
      <c r="B150" t="s">
        <v>151</v>
      </c>
      <c r="C150">
        <v>506</v>
      </c>
      <c r="D150" s="6">
        <v>216284.25</v>
      </c>
      <c r="E150" s="6">
        <v>71373.8</v>
      </c>
      <c r="F150" s="6">
        <v>71373.809999999983</v>
      </c>
    </row>
    <row r="151" spans="1:6" x14ac:dyDescent="0.25">
      <c r="A151" t="str">
        <f>"053769"</f>
        <v>053769</v>
      </c>
      <c r="B151" t="s">
        <v>152</v>
      </c>
      <c r="C151">
        <v>648</v>
      </c>
      <c r="D151" s="6">
        <v>276980.61</v>
      </c>
      <c r="E151" s="6">
        <v>91403.6</v>
      </c>
      <c r="F151" s="6">
        <v>91403.6</v>
      </c>
    </row>
    <row r="152" spans="1:6" x14ac:dyDescent="0.25">
      <c r="A152" t="str">
        <f>"053785"</f>
        <v>053785</v>
      </c>
      <c r="B152" t="s">
        <v>153</v>
      </c>
      <c r="C152">
        <v>232</v>
      </c>
      <c r="D152" s="6">
        <v>88907.92</v>
      </c>
      <c r="E152" s="6">
        <v>29339.61</v>
      </c>
      <c r="F152" s="6">
        <v>29339.620000000003</v>
      </c>
    </row>
    <row r="153" spans="1:6" x14ac:dyDescent="0.25">
      <c r="A153" t="str">
        <f>"053801"</f>
        <v>053801</v>
      </c>
      <c r="B153" t="s">
        <v>154</v>
      </c>
      <c r="C153">
        <v>72</v>
      </c>
      <c r="D153" s="6">
        <v>30775.62</v>
      </c>
      <c r="E153" s="6">
        <v>10155.950000000001</v>
      </c>
      <c r="F153" s="6">
        <v>10155.959999999999</v>
      </c>
    </row>
    <row r="154" spans="1:6" x14ac:dyDescent="0.25">
      <c r="A154" t="str">
        <f>"053827"</f>
        <v>053827</v>
      </c>
      <c r="B154" t="s">
        <v>155</v>
      </c>
      <c r="C154">
        <v>285</v>
      </c>
      <c r="D154" s="6">
        <v>121820.18</v>
      </c>
      <c r="E154" s="6">
        <v>40200.660000000003</v>
      </c>
      <c r="F154" s="6">
        <v>40200.660000000003</v>
      </c>
    </row>
    <row r="155" spans="1:6" x14ac:dyDescent="0.25">
      <c r="A155" t="str">
        <f>"053835"</f>
        <v>053835</v>
      </c>
      <c r="B155" t="s">
        <v>156</v>
      </c>
      <c r="C155">
        <v>642</v>
      </c>
      <c r="D155" s="6">
        <v>274415.98</v>
      </c>
      <c r="E155" s="6">
        <v>90557.27</v>
      </c>
      <c r="F155" s="6">
        <v>90557.279999999984</v>
      </c>
    </row>
    <row r="156" spans="1:6" x14ac:dyDescent="0.25">
      <c r="A156" t="str">
        <f>"053843"</f>
        <v>053843</v>
      </c>
      <c r="B156" t="s">
        <v>156</v>
      </c>
      <c r="C156">
        <v>511</v>
      </c>
      <c r="D156" s="6">
        <v>218421.44</v>
      </c>
      <c r="E156" s="6">
        <v>72079.08</v>
      </c>
      <c r="F156" s="6">
        <v>72079.069999999992</v>
      </c>
    </row>
    <row r="157" spans="1:6" x14ac:dyDescent="0.25">
      <c r="A157" t="str">
        <f>"053850"</f>
        <v>053850</v>
      </c>
      <c r="B157" t="s">
        <v>157</v>
      </c>
      <c r="C157">
        <v>619</v>
      </c>
      <c r="D157" s="6">
        <v>264584.88</v>
      </c>
      <c r="E157" s="6">
        <v>87313.01</v>
      </c>
      <c r="F157" s="6">
        <v>87313.01</v>
      </c>
    </row>
    <row r="158" spans="1:6" x14ac:dyDescent="0.25">
      <c r="A158" t="str">
        <f>"053868"</f>
        <v>053868</v>
      </c>
      <c r="B158" t="s">
        <v>158</v>
      </c>
      <c r="C158">
        <v>97</v>
      </c>
      <c r="D158" s="6">
        <v>41461.599999999999</v>
      </c>
      <c r="E158" s="6">
        <v>13682.33</v>
      </c>
      <c r="F158" s="6">
        <v>13682.33</v>
      </c>
    </row>
    <row r="159" spans="1:6" x14ac:dyDescent="0.25">
      <c r="A159" t="str">
        <f>"053876"</f>
        <v>053876</v>
      </c>
      <c r="B159" t="s">
        <v>159</v>
      </c>
      <c r="C159">
        <v>1466</v>
      </c>
      <c r="D159" s="6">
        <v>626625.9</v>
      </c>
      <c r="E159" s="6">
        <v>206786.55</v>
      </c>
      <c r="F159" s="6">
        <v>206786.54000000004</v>
      </c>
    </row>
    <row r="160" spans="1:6" x14ac:dyDescent="0.25">
      <c r="A160" t="str">
        <f>"053884"</f>
        <v>053884</v>
      </c>
      <c r="B160" t="s">
        <v>160</v>
      </c>
      <c r="C160">
        <v>516</v>
      </c>
      <c r="D160" s="6">
        <v>220558.64</v>
      </c>
      <c r="E160" s="6">
        <v>72784.350000000006</v>
      </c>
      <c r="F160" s="6">
        <v>72784.350000000006</v>
      </c>
    </row>
    <row r="161" spans="1:6" x14ac:dyDescent="0.25">
      <c r="A161" t="str">
        <f>"053900"</f>
        <v>053900</v>
      </c>
      <c r="B161" t="s">
        <v>161</v>
      </c>
      <c r="C161">
        <v>790</v>
      </c>
      <c r="D161" s="6">
        <v>337676.98</v>
      </c>
      <c r="E161" s="6">
        <v>111433.4</v>
      </c>
      <c r="F161" s="6">
        <v>111433.41</v>
      </c>
    </row>
    <row r="162" spans="1:6" x14ac:dyDescent="0.25">
      <c r="A162" t="str">
        <f>"053918"</f>
        <v>053918</v>
      </c>
      <c r="B162" t="s">
        <v>162</v>
      </c>
      <c r="C162">
        <v>119</v>
      </c>
      <c r="D162" s="6">
        <v>50865.27</v>
      </c>
      <c r="E162" s="6">
        <v>16785.54</v>
      </c>
      <c r="F162" s="6">
        <v>16785.54</v>
      </c>
    </row>
    <row r="163" spans="1:6" x14ac:dyDescent="0.25">
      <c r="A163" t="str">
        <f>"053926"</f>
        <v>053926</v>
      </c>
      <c r="B163" t="s">
        <v>163</v>
      </c>
      <c r="C163">
        <v>424</v>
      </c>
      <c r="D163" s="6">
        <v>181234.23</v>
      </c>
      <c r="E163" s="6">
        <v>59807.3</v>
      </c>
      <c r="F163" s="6">
        <v>59807.289999999994</v>
      </c>
    </row>
    <row r="164" spans="1:6" x14ac:dyDescent="0.25">
      <c r="A164" t="str">
        <f>"053934"</f>
        <v>053934</v>
      </c>
      <c r="B164" t="s">
        <v>164</v>
      </c>
      <c r="C164">
        <v>442</v>
      </c>
      <c r="D164" s="6">
        <v>188928.13</v>
      </c>
      <c r="E164" s="6">
        <v>62346.28</v>
      </c>
      <c r="F164" s="6">
        <v>62346.290000000008</v>
      </c>
    </row>
    <row r="165" spans="1:6" x14ac:dyDescent="0.25">
      <c r="A165" t="str">
        <f>"053942"</f>
        <v>053942</v>
      </c>
      <c r="B165" t="s">
        <v>165</v>
      </c>
      <c r="C165">
        <v>620</v>
      </c>
      <c r="D165" s="6">
        <v>265012.32</v>
      </c>
      <c r="E165" s="6">
        <v>87454.07</v>
      </c>
      <c r="F165" s="6">
        <v>87454.06</v>
      </c>
    </row>
    <row r="166" spans="1:6" x14ac:dyDescent="0.25">
      <c r="A166" t="str">
        <f>"053975"</f>
        <v>053975</v>
      </c>
      <c r="B166" t="s">
        <v>166</v>
      </c>
      <c r="C166">
        <v>209</v>
      </c>
      <c r="D166" s="6">
        <v>89334.8</v>
      </c>
      <c r="E166" s="6">
        <v>29480.48</v>
      </c>
      <c r="F166" s="6">
        <v>29480.49</v>
      </c>
    </row>
    <row r="167" spans="1:6" x14ac:dyDescent="0.25">
      <c r="A167" t="str">
        <f>"053983"</f>
        <v>053983</v>
      </c>
      <c r="B167" t="s">
        <v>167</v>
      </c>
      <c r="C167">
        <v>545</v>
      </c>
      <c r="D167" s="6">
        <v>232954.37</v>
      </c>
      <c r="E167" s="6">
        <v>76874.94</v>
      </c>
      <c r="F167" s="6">
        <v>76874.94</v>
      </c>
    </row>
    <row r="168" spans="1:6" x14ac:dyDescent="0.25">
      <c r="A168" t="str">
        <f>"054015"</f>
        <v>054015</v>
      </c>
      <c r="B168" t="s">
        <v>168</v>
      </c>
      <c r="C168">
        <v>659</v>
      </c>
      <c r="D168" s="6">
        <v>281682.45</v>
      </c>
      <c r="E168" s="6">
        <v>92955.21</v>
      </c>
      <c r="F168" s="6">
        <v>92955.21</v>
      </c>
    </row>
    <row r="169" spans="1:6" x14ac:dyDescent="0.25">
      <c r="A169" t="str">
        <f>"054031"</f>
        <v>054031</v>
      </c>
      <c r="B169" t="s">
        <v>169</v>
      </c>
      <c r="C169">
        <v>74</v>
      </c>
      <c r="D169" s="6">
        <v>31630.5</v>
      </c>
      <c r="E169" s="6">
        <v>10438.07</v>
      </c>
      <c r="F169" s="6">
        <v>10438.060000000001</v>
      </c>
    </row>
    <row r="170" spans="1:6" x14ac:dyDescent="0.25">
      <c r="A170" t="str">
        <f>"054148"</f>
        <v>054148</v>
      </c>
      <c r="B170" t="s">
        <v>170</v>
      </c>
      <c r="C170">
        <v>24</v>
      </c>
      <c r="D170" s="6">
        <v>10258.540000000001</v>
      </c>
      <c r="E170" s="6">
        <v>3385.32</v>
      </c>
      <c r="F170" s="6">
        <v>3385.32</v>
      </c>
    </row>
    <row r="171" spans="1:6" x14ac:dyDescent="0.25">
      <c r="A171" t="str">
        <f>"054163"</f>
        <v>054163</v>
      </c>
      <c r="B171" t="s">
        <v>171</v>
      </c>
      <c r="C171">
        <v>33</v>
      </c>
      <c r="D171" s="6">
        <v>14105.49</v>
      </c>
      <c r="E171" s="6">
        <v>4654.8100000000004</v>
      </c>
      <c r="F171" s="6">
        <v>4654.8100000000004</v>
      </c>
    </row>
    <row r="172" spans="1:6" x14ac:dyDescent="0.25">
      <c r="A172" t="str">
        <f>"054171"</f>
        <v>054171</v>
      </c>
      <c r="B172" t="s">
        <v>172</v>
      </c>
      <c r="C172">
        <v>83</v>
      </c>
      <c r="D172" s="6">
        <v>35477.46</v>
      </c>
      <c r="E172" s="6">
        <v>11707.56</v>
      </c>
      <c r="F172" s="6">
        <v>11707.56</v>
      </c>
    </row>
    <row r="173" spans="1:6" x14ac:dyDescent="0.25">
      <c r="A173" t="str">
        <f>"054205"</f>
        <v>054205</v>
      </c>
      <c r="B173" t="s">
        <v>173</v>
      </c>
      <c r="C173">
        <v>487</v>
      </c>
      <c r="D173" s="6">
        <v>208162.9</v>
      </c>
      <c r="E173" s="6">
        <v>68693.759999999995</v>
      </c>
      <c r="F173" s="6">
        <v>68693.750000000015</v>
      </c>
    </row>
    <row r="174" spans="1:6" x14ac:dyDescent="0.25">
      <c r="A174" t="str">
        <f>"054213"</f>
        <v>054213</v>
      </c>
      <c r="B174" t="s">
        <v>174</v>
      </c>
      <c r="C174">
        <v>139</v>
      </c>
      <c r="D174" s="6">
        <v>59414.05</v>
      </c>
      <c r="E174" s="6">
        <v>19606.64</v>
      </c>
      <c r="F174" s="6">
        <v>19606.629999999997</v>
      </c>
    </row>
    <row r="175" spans="1:6" x14ac:dyDescent="0.25">
      <c r="A175" t="str">
        <f>"054239"</f>
        <v>054239</v>
      </c>
      <c r="B175" t="s">
        <v>175</v>
      </c>
      <c r="C175">
        <v>304</v>
      </c>
      <c r="D175" s="6">
        <v>129941.52</v>
      </c>
      <c r="E175" s="6">
        <v>42880.7</v>
      </c>
      <c r="F175" s="6">
        <v>42880.7</v>
      </c>
    </row>
    <row r="176" spans="1:6" x14ac:dyDescent="0.25">
      <c r="A176" t="str">
        <f>"054270"</f>
        <v>054270</v>
      </c>
      <c r="B176" t="s">
        <v>176</v>
      </c>
      <c r="C176">
        <v>312</v>
      </c>
      <c r="D176" s="6">
        <v>133361.04</v>
      </c>
      <c r="E176" s="6">
        <v>44009.14</v>
      </c>
      <c r="F176" s="6">
        <v>44009.149999999994</v>
      </c>
    </row>
    <row r="177" spans="1:6" x14ac:dyDescent="0.25">
      <c r="A177" t="str">
        <f>"054288"</f>
        <v>054288</v>
      </c>
      <c r="B177" t="s">
        <v>177</v>
      </c>
      <c r="C177">
        <v>133</v>
      </c>
      <c r="D177" s="6">
        <v>56849.42</v>
      </c>
      <c r="E177" s="6">
        <v>18760.310000000001</v>
      </c>
      <c r="F177" s="6">
        <v>18760.310000000001</v>
      </c>
    </row>
    <row r="178" spans="1:6" x14ac:dyDescent="0.25">
      <c r="A178" t="str">
        <f>"054312"</f>
        <v>054312</v>
      </c>
      <c r="B178" t="s">
        <v>178</v>
      </c>
      <c r="C178">
        <v>281</v>
      </c>
      <c r="D178" s="6">
        <v>120110.42</v>
      </c>
      <c r="E178" s="6">
        <v>39636.44</v>
      </c>
      <c r="F178" s="6">
        <v>39636.44</v>
      </c>
    </row>
    <row r="179" spans="1:6" x14ac:dyDescent="0.25">
      <c r="A179" t="str">
        <f>"054320"</f>
        <v>054320</v>
      </c>
      <c r="B179" t="s">
        <v>179</v>
      </c>
      <c r="C179">
        <v>405</v>
      </c>
      <c r="D179" s="6">
        <v>173112.88</v>
      </c>
      <c r="E179" s="6">
        <v>57127.25</v>
      </c>
      <c r="F179" s="6">
        <v>57127.25</v>
      </c>
    </row>
    <row r="180" spans="1:6" x14ac:dyDescent="0.25">
      <c r="A180" t="str">
        <f>"054338"</f>
        <v>054338</v>
      </c>
      <c r="B180" t="s">
        <v>180</v>
      </c>
      <c r="C180">
        <v>288</v>
      </c>
      <c r="D180" s="6">
        <v>123102.5</v>
      </c>
      <c r="E180" s="6">
        <v>40623.83</v>
      </c>
      <c r="F180" s="6">
        <v>40623.819999999992</v>
      </c>
    </row>
    <row r="181" spans="1:6" x14ac:dyDescent="0.25">
      <c r="A181" t="str">
        <f>"054346"</f>
        <v>054346</v>
      </c>
      <c r="B181" t="s">
        <v>180</v>
      </c>
      <c r="C181">
        <v>206</v>
      </c>
      <c r="D181" s="6">
        <v>88052.479999999996</v>
      </c>
      <c r="E181" s="6">
        <v>29057.32</v>
      </c>
      <c r="F181" s="6">
        <v>29057.32</v>
      </c>
    </row>
    <row r="182" spans="1:6" x14ac:dyDescent="0.25">
      <c r="A182" t="str">
        <f>"054361"</f>
        <v>054361</v>
      </c>
      <c r="B182" t="s">
        <v>181</v>
      </c>
      <c r="C182">
        <v>184</v>
      </c>
      <c r="D182" s="6">
        <v>78648.820000000007</v>
      </c>
      <c r="E182" s="6">
        <v>25954.11</v>
      </c>
      <c r="F182" s="6">
        <v>25954.11</v>
      </c>
    </row>
    <row r="183" spans="1:6" x14ac:dyDescent="0.25">
      <c r="A183" t="str">
        <f>"054387"</f>
        <v>054387</v>
      </c>
      <c r="B183" t="s">
        <v>182</v>
      </c>
      <c r="C183">
        <v>158</v>
      </c>
      <c r="D183" s="6">
        <v>67535.399999999994</v>
      </c>
      <c r="E183" s="6">
        <v>22286.68</v>
      </c>
      <c r="F183" s="6">
        <v>22286.68</v>
      </c>
    </row>
    <row r="184" spans="1:6" x14ac:dyDescent="0.25">
      <c r="A184" t="str">
        <f>"054411"</f>
        <v>054411</v>
      </c>
      <c r="B184" t="s">
        <v>183</v>
      </c>
      <c r="C184">
        <v>130</v>
      </c>
      <c r="D184" s="6">
        <v>54873.04</v>
      </c>
      <c r="E184" s="6">
        <v>18108.099999999999</v>
      </c>
      <c r="F184" s="6">
        <v>18108.11</v>
      </c>
    </row>
    <row r="185" spans="1:6" x14ac:dyDescent="0.25">
      <c r="A185" t="str">
        <f>"054429"</f>
        <v>054429</v>
      </c>
      <c r="B185" t="s">
        <v>183</v>
      </c>
      <c r="C185">
        <v>289</v>
      </c>
      <c r="D185" s="6">
        <v>123529.93</v>
      </c>
      <c r="E185" s="6">
        <v>40764.879999999997</v>
      </c>
      <c r="F185" s="6">
        <v>40764.870000000003</v>
      </c>
    </row>
    <row r="186" spans="1:6" x14ac:dyDescent="0.25">
      <c r="A186" t="str">
        <f>"054437"</f>
        <v>054437</v>
      </c>
      <c r="B186" t="s">
        <v>184</v>
      </c>
      <c r="C186">
        <v>543</v>
      </c>
      <c r="D186" s="6">
        <v>232099.5</v>
      </c>
      <c r="E186" s="6">
        <v>76592.84</v>
      </c>
      <c r="F186" s="6">
        <v>76592.830000000016</v>
      </c>
    </row>
    <row r="187" spans="1:6" x14ac:dyDescent="0.25">
      <c r="A187" t="str">
        <f>"054445"</f>
        <v>054445</v>
      </c>
      <c r="B187" t="s">
        <v>185</v>
      </c>
      <c r="C187">
        <v>838</v>
      </c>
      <c r="D187" s="6">
        <v>358194.07</v>
      </c>
      <c r="E187" s="6">
        <v>118204.04</v>
      </c>
      <c r="F187" s="6">
        <v>118204.05</v>
      </c>
    </row>
    <row r="188" spans="1:6" x14ac:dyDescent="0.25">
      <c r="A188" t="str">
        <f>"054486"</f>
        <v>054486</v>
      </c>
      <c r="B188" t="s">
        <v>186</v>
      </c>
      <c r="C188">
        <v>375</v>
      </c>
      <c r="D188" s="6">
        <v>160289.71</v>
      </c>
      <c r="E188" s="6">
        <v>52895.6</v>
      </c>
      <c r="F188" s="6">
        <v>52895.610000000008</v>
      </c>
    </row>
    <row r="189" spans="1:6" x14ac:dyDescent="0.25">
      <c r="A189" t="str">
        <f>"054510"</f>
        <v>054510</v>
      </c>
      <c r="B189" t="s">
        <v>187</v>
      </c>
      <c r="C189">
        <v>295</v>
      </c>
      <c r="D189" s="6">
        <v>126094.57</v>
      </c>
      <c r="E189" s="6">
        <v>41611.21</v>
      </c>
      <c r="F189" s="6">
        <v>41611.21</v>
      </c>
    </row>
    <row r="190" spans="1:6" x14ac:dyDescent="0.25">
      <c r="A190" t="str">
        <f>"054544"</f>
        <v>054544</v>
      </c>
      <c r="B190" t="s">
        <v>188</v>
      </c>
      <c r="C190">
        <v>191</v>
      </c>
      <c r="D190" s="6">
        <v>76405.31</v>
      </c>
      <c r="E190" s="6">
        <v>25213.75</v>
      </c>
      <c r="F190" s="6">
        <v>25213.75</v>
      </c>
    </row>
    <row r="191" spans="1:6" x14ac:dyDescent="0.25">
      <c r="A191" t="str">
        <f>"054577"</f>
        <v>054577</v>
      </c>
      <c r="B191" t="s">
        <v>189</v>
      </c>
      <c r="C191">
        <v>401</v>
      </c>
      <c r="D191" s="6">
        <v>171403.13</v>
      </c>
      <c r="E191" s="6">
        <v>56563.03</v>
      </c>
      <c r="F191" s="6">
        <v>56563.040000000008</v>
      </c>
    </row>
    <row r="192" spans="1:6" x14ac:dyDescent="0.25">
      <c r="A192" t="str">
        <f>"054585"</f>
        <v>054585</v>
      </c>
      <c r="B192" t="s">
        <v>190</v>
      </c>
      <c r="C192">
        <v>762</v>
      </c>
      <c r="D192" s="6">
        <v>325708.69</v>
      </c>
      <c r="E192" s="6">
        <v>107483.87</v>
      </c>
      <c r="F192" s="6">
        <v>107483.87</v>
      </c>
    </row>
    <row r="193" spans="1:6" x14ac:dyDescent="0.25">
      <c r="A193" t="str">
        <f>"054601"</f>
        <v>054601</v>
      </c>
      <c r="B193" t="s">
        <v>191</v>
      </c>
      <c r="C193">
        <v>192</v>
      </c>
      <c r="D193" s="6">
        <v>82068.33</v>
      </c>
      <c r="E193" s="6">
        <v>27082.55</v>
      </c>
      <c r="F193" s="6">
        <v>27082.55</v>
      </c>
    </row>
    <row r="194" spans="1:6" x14ac:dyDescent="0.25">
      <c r="A194" t="str">
        <f>"054627"</f>
        <v>054627</v>
      </c>
      <c r="B194" t="s">
        <v>192</v>
      </c>
      <c r="C194">
        <v>164</v>
      </c>
      <c r="D194" s="6">
        <v>70100.03</v>
      </c>
      <c r="E194" s="6">
        <v>23133.01</v>
      </c>
      <c r="F194" s="6">
        <v>23133.01</v>
      </c>
    </row>
    <row r="195" spans="1:6" x14ac:dyDescent="0.25">
      <c r="A195" t="str">
        <f>"054635"</f>
        <v>054635</v>
      </c>
      <c r="B195" t="s">
        <v>193</v>
      </c>
      <c r="C195">
        <v>192</v>
      </c>
      <c r="D195" s="6">
        <v>82068.33</v>
      </c>
      <c r="E195" s="6">
        <v>27082.55</v>
      </c>
      <c r="F195" s="6">
        <v>27082.55</v>
      </c>
    </row>
    <row r="196" spans="1:6" x14ac:dyDescent="0.25">
      <c r="A196" t="str">
        <f>"054650"</f>
        <v>054650</v>
      </c>
      <c r="B196" t="s">
        <v>194</v>
      </c>
      <c r="C196">
        <v>450</v>
      </c>
      <c r="D196" s="6">
        <v>160492.96</v>
      </c>
      <c r="E196" s="6">
        <v>52962.68</v>
      </c>
      <c r="F196" s="6">
        <v>52962.670000000006</v>
      </c>
    </row>
    <row r="197" spans="1:6" x14ac:dyDescent="0.25">
      <c r="A197" t="str">
        <f>"054692"</f>
        <v>054692</v>
      </c>
      <c r="B197" t="s">
        <v>195</v>
      </c>
      <c r="C197">
        <v>269</v>
      </c>
      <c r="D197" s="6">
        <v>114981.15</v>
      </c>
      <c r="E197" s="6">
        <v>37943.78</v>
      </c>
      <c r="F197" s="6">
        <v>37943.78</v>
      </c>
    </row>
    <row r="198" spans="1:6" x14ac:dyDescent="0.25">
      <c r="A198" t="str">
        <f>"054718"</f>
        <v>054718</v>
      </c>
      <c r="B198" t="s">
        <v>196</v>
      </c>
      <c r="C198">
        <v>141</v>
      </c>
      <c r="D198" s="6">
        <v>60268.93</v>
      </c>
      <c r="E198" s="6">
        <v>19888.75</v>
      </c>
      <c r="F198" s="6">
        <v>19888.739999999998</v>
      </c>
    </row>
    <row r="199" spans="1:6" x14ac:dyDescent="0.25">
      <c r="A199" t="str">
        <f>"054726"</f>
        <v>054726</v>
      </c>
      <c r="B199" t="s">
        <v>197</v>
      </c>
      <c r="C199">
        <v>97</v>
      </c>
      <c r="D199" s="6">
        <v>41461.599999999999</v>
      </c>
      <c r="E199" s="6">
        <v>13682.33</v>
      </c>
      <c r="F199" s="6">
        <v>13682.33</v>
      </c>
    </row>
    <row r="200" spans="1:6" x14ac:dyDescent="0.25">
      <c r="A200" t="str">
        <f>"054742"</f>
        <v>054742</v>
      </c>
      <c r="B200" t="s">
        <v>198</v>
      </c>
      <c r="C200">
        <v>404</v>
      </c>
      <c r="D200" s="6">
        <v>172685.44</v>
      </c>
      <c r="E200" s="6">
        <v>56986.2</v>
      </c>
      <c r="F200" s="6">
        <v>56986.19</v>
      </c>
    </row>
    <row r="201" spans="1:6" x14ac:dyDescent="0.25">
      <c r="A201" t="str">
        <f>"054759"</f>
        <v>054759</v>
      </c>
      <c r="B201" t="s">
        <v>199</v>
      </c>
      <c r="C201">
        <v>170</v>
      </c>
      <c r="D201" s="6">
        <v>72664.67</v>
      </c>
      <c r="E201" s="6">
        <v>23979.34</v>
      </c>
      <c r="F201" s="6">
        <v>23979.34</v>
      </c>
    </row>
    <row r="202" spans="1:6" x14ac:dyDescent="0.25">
      <c r="A202" t="str">
        <f>"054775"</f>
        <v>054775</v>
      </c>
      <c r="B202" t="s">
        <v>200</v>
      </c>
      <c r="C202">
        <v>196</v>
      </c>
      <c r="D202" s="6">
        <v>83778.09</v>
      </c>
      <c r="E202" s="6">
        <v>27646.77</v>
      </c>
      <c r="F202" s="6">
        <v>27646.77</v>
      </c>
    </row>
    <row r="203" spans="1:6" x14ac:dyDescent="0.25">
      <c r="A203" t="str">
        <f>"054783"</f>
        <v>054783</v>
      </c>
      <c r="B203" t="s">
        <v>201</v>
      </c>
      <c r="C203">
        <v>387</v>
      </c>
      <c r="D203" s="6">
        <v>165418.98000000001</v>
      </c>
      <c r="E203" s="6">
        <v>54588.26</v>
      </c>
      <c r="F203" s="6">
        <v>54588.27</v>
      </c>
    </row>
    <row r="204" spans="1:6" x14ac:dyDescent="0.25">
      <c r="A204" t="str">
        <f>"054809"</f>
        <v>054809</v>
      </c>
      <c r="B204" t="s">
        <v>202</v>
      </c>
      <c r="C204">
        <v>405</v>
      </c>
      <c r="D204" s="6">
        <v>173112.88</v>
      </c>
      <c r="E204" s="6">
        <v>57127.25</v>
      </c>
      <c r="F204" s="6">
        <v>57127.25</v>
      </c>
    </row>
    <row r="205" spans="1:6" x14ac:dyDescent="0.25">
      <c r="A205" t="str">
        <f>"054817"</f>
        <v>054817</v>
      </c>
      <c r="B205" t="s">
        <v>203</v>
      </c>
      <c r="C205">
        <v>210</v>
      </c>
      <c r="D205" s="6">
        <v>89762.240000000005</v>
      </c>
      <c r="E205" s="6">
        <v>29621.54</v>
      </c>
      <c r="F205" s="6">
        <v>29621.54</v>
      </c>
    </row>
    <row r="206" spans="1:6" x14ac:dyDescent="0.25">
      <c r="A206" t="str">
        <f>"054833"</f>
        <v>054833</v>
      </c>
      <c r="B206" t="s">
        <v>204</v>
      </c>
      <c r="C206">
        <v>205</v>
      </c>
      <c r="D206" s="6">
        <v>87625.04</v>
      </c>
      <c r="E206" s="6">
        <v>28916.26</v>
      </c>
      <c r="F206" s="6">
        <v>28916.27</v>
      </c>
    </row>
    <row r="207" spans="1:6" x14ac:dyDescent="0.25">
      <c r="A207" t="str">
        <f>"054866"</f>
        <v>054866</v>
      </c>
      <c r="B207" t="s">
        <v>205</v>
      </c>
      <c r="C207">
        <v>187</v>
      </c>
      <c r="D207" s="6">
        <v>79931.13</v>
      </c>
      <c r="E207" s="6">
        <v>26377.27</v>
      </c>
      <c r="F207" s="6">
        <v>26377.280000000002</v>
      </c>
    </row>
    <row r="208" spans="1:6" x14ac:dyDescent="0.25">
      <c r="A208" t="str">
        <f>"054882"</f>
        <v>054882</v>
      </c>
      <c r="B208" t="s">
        <v>206</v>
      </c>
      <c r="C208">
        <v>205</v>
      </c>
      <c r="D208" s="6">
        <v>87625.04</v>
      </c>
      <c r="E208" s="6">
        <v>28916.26</v>
      </c>
      <c r="F208" s="6">
        <v>28916.27</v>
      </c>
    </row>
    <row r="209" spans="1:6" x14ac:dyDescent="0.25">
      <c r="A209" t="str">
        <f>"054890"</f>
        <v>054890</v>
      </c>
      <c r="B209" t="s">
        <v>207</v>
      </c>
      <c r="C209">
        <v>155</v>
      </c>
      <c r="D209" s="6">
        <v>66253.08</v>
      </c>
      <c r="E209" s="6">
        <v>21863.52</v>
      </c>
      <c r="F209" s="6">
        <v>21863.51</v>
      </c>
    </row>
    <row r="210" spans="1:6" x14ac:dyDescent="0.25">
      <c r="A210" t="str">
        <f>"054908"</f>
        <v>054908</v>
      </c>
      <c r="B210" t="s">
        <v>208</v>
      </c>
      <c r="C210">
        <v>229</v>
      </c>
      <c r="D210" s="6">
        <v>97883.58</v>
      </c>
      <c r="E210" s="6">
        <v>32301.58</v>
      </c>
      <c r="F210" s="6">
        <v>32301.58</v>
      </c>
    </row>
    <row r="211" spans="1:6" x14ac:dyDescent="0.25">
      <c r="A211" t="str">
        <f>"054916"</f>
        <v>054916</v>
      </c>
      <c r="B211" t="s">
        <v>209</v>
      </c>
      <c r="C211">
        <v>411</v>
      </c>
      <c r="D211" s="6">
        <v>175677.52</v>
      </c>
      <c r="E211" s="6">
        <v>57973.58</v>
      </c>
      <c r="F211" s="6">
        <v>57973.58</v>
      </c>
    </row>
    <row r="212" spans="1:6" x14ac:dyDescent="0.25">
      <c r="A212" t="str">
        <f>"054932"</f>
        <v>054932</v>
      </c>
      <c r="B212" t="s">
        <v>210</v>
      </c>
      <c r="C212">
        <v>290</v>
      </c>
      <c r="D212" s="6">
        <v>123957.37</v>
      </c>
      <c r="E212" s="6">
        <v>40905.93</v>
      </c>
      <c r="F212" s="6">
        <v>40905.93</v>
      </c>
    </row>
    <row r="213" spans="1:6" x14ac:dyDescent="0.25">
      <c r="A213" t="str">
        <f>"054957"</f>
        <v>054957</v>
      </c>
      <c r="B213" t="s">
        <v>211</v>
      </c>
      <c r="C213">
        <v>286</v>
      </c>
      <c r="D213" s="6">
        <v>122247.62</v>
      </c>
      <c r="E213" s="6">
        <v>40341.71</v>
      </c>
      <c r="F213" s="6">
        <v>40341.719999999994</v>
      </c>
    </row>
    <row r="214" spans="1:6" x14ac:dyDescent="0.25">
      <c r="A214" t="str">
        <f>"054965"</f>
        <v>054965</v>
      </c>
      <c r="B214" t="s">
        <v>212</v>
      </c>
      <c r="C214">
        <v>492</v>
      </c>
      <c r="D214" s="6">
        <v>210300.1</v>
      </c>
      <c r="E214" s="6">
        <v>69399.03</v>
      </c>
      <c r="F214" s="6">
        <v>69399.040000000008</v>
      </c>
    </row>
    <row r="215" spans="1:6" x14ac:dyDescent="0.25">
      <c r="A215" t="str">
        <f>"054973"</f>
        <v>054973</v>
      </c>
      <c r="B215" t="s">
        <v>213</v>
      </c>
      <c r="C215">
        <v>364</v>
      </c>
      <c r="D215" s="6">
        <v>155587.88</v>
      </c>
      <c r="E215" s="6">
        <v>51344</v>
      </c>
      <c r="F215" s="6">
        <v>51344</v>
      </c>
    </row>
    <row r="216" spans="1:6" x14ac:dyDescent="0.25">
      <c r="A216" t="str">
        <f>"054999"</f>
        <v>054999</v>
      </c>
      <c r="B216" t="s">
        <v>214</v>
      </c>
      <c r="C216">
        <v>215</v>
      </c>
      <c r="D216" s="6">
        <v>91899.43</v>
      </c>
      <c r="E216" s="6">
        <v>30326.81</v>
      </c>
      <c r="F216" s="6">
        <v>30326.81</v>
      </c>
    </row>
    <row r="217" spans="1:6" x14ac:dyDescent="0.25">
      <c r="A217" t="str">
        <f>"055004"</f>
        <v>055004</v>
      </c>
      <c r="B217" t="s">
        <v>214</v>
      </c>
      <c r="C217">
        <v>172</v>
      </c>
      <c r="D217" s="6">
        <v>73519.55</v>
      </c>
      <c r="E217" s="6">
        <v>24261.45</v>
      </c>
      <c r="F217" s="6">
        <v>24261.45</v>
      </c>
    </row>
    <row r="218" spans="1:6" x14ac:dyDescent="0.25">
      <c r="A218" t="str">
        <f>"055012"</f>
        <v>055012</v>
      </c>
      <c r="B218" t="s">
        <v>215</v>
      </c>
      <c r="C218">
        <v>176</v>
      </c>
      <c r="D218" s="6">
        <v>75229.3</v>
      </c>
      <c r="E218" s="6">
        <v>24825.67</v>
      </c>
      <c r="F218" s="6">
        <v>24825.67</v>
      </c>
    </row>
    <row r="219" spans="1:6" x14ac:dyDescent="0.25">
      <c r="A219" t="str">
        <f>"055020"</f>
        <v>055020</v>
      </c>
      <c r="B219" t="s">
        <v>216</v>
      </c>
      <c r="C219">
        <v>329</v>
      </c>
      <c r="D219" s="6">
        <v>140627.5</v>
      </c>
      <c r="E219" s="6">
        <v>46407.08</v>
      </c>
      <c r="F219" s="6">
        <v>46407.069999999992</v>
      </c>
    </row>
    <row r="220" spans="1:6" x14ac:dyDescent="0.25">
      <c r="A220" t="str">
        <f>"055038"</f>
        <v>055038</v>
      </c>
      <c r="B220" t="s">
        <v>217</v>
      </c>
      <c r="C220">
        <v>186</v>
      </c>
      <c r="D220" s="6">
        <v>79503.69</v>
      </c>
      <c r="E220" s="6">
        <v>26236.22</v>
      </c>
      <c r="F220" s="6">
        <v>26236.22</v>
      </c>
    </row>
    <row r="221" spans="1:6" x14ac:dyDescent="0.25">
      <c r="A221" t="str">
        <f>"055046"</f>
        <v>055046</v>
      </c>
      <c r="B221" t="s">
        <v>218</v>
      </c>
      <c r="C221">
        <v>342</v>
      </c>
      <c r="D221" s="6">
        <v>146184.21</v>
      </c>
      <c r="E221" s="6">
        <v>48240.79</v>
      </c>
      <c r="F221" s="6">
        <v>48240.79</v>
      </c>
    </row>
    <row r="222" spans="1:6" x14ac:dyDescent="0.25">
      <c r="A222" t="str">
        <f>"055053"</f>
        <v>055053</v>
      </c>
      <c r="B222" t="s">
        <v>219</v>
      </c>
      <c r="C222">
        <v>389</v>
      </c>
      <c r="D222" s="6">
        <v>166273.85999999999</v>
      </c>
      <c r="E222" s="6">
        <v>54870.37</v>
      </c>
      <c r="F222" s="6">
        <v>54870.38</v>
      </c>
    </row>
    <row r="223" spans="1:6" x14ac:dyDescent="0.25">
      <c r="A223" t="str">
        <f>"055087"</f>
        <v>055087</v>
      </c>
      <c r="B223" t="s">
        <v>220</v>
      </c>
      <c r="C223">
        <v>1029</v>
      </c>
      <c r="D223" s="6">
        <v>439834.96</v>
      </c>
      <c r="E223" s="6">
        <v>145145.54</v>
      </c>
      <c r="F223" s="6">
        <v>145145.53</v>
      </c>
    </row>
    <row r="224" spans="1:6" x14ac:dyDescent="0.25">
      <c r="A224" t="str">
        <f>"055103"</f>
        <v>055103</v>
      </c>
      <c r="B224" t="s">
        <v>221</v>
      </c>
      <c r="C224">
        <v>554</v>
      </c>
      <c r="D224" s="6">
        <v>236801.33</v>
      </c>
      <c r="E224" s="6">
        <v>78144.44</v>
      </c>
      <c r="F224" s="6">
        <v>78144.44</v>
      </c>
    </row>
    <row r="225" spans="1:6" x14ac:dyDescent="0.25">
      <c r="A225" t="str">
        <f>"055129"</f>
        <v>055129</v>
      </c>
      <c r="B225" t="s">
        <v>222</v>
      </c>
      <c r="C225">
        <v>345</v>
      </c>
      <c r="D225" s="6">
        <v>147466.53</v>
      </c>
      <c r="E225" s="6">
        <v>48663.95</v>
      </c>
      <c r="F225" s="6">
        <v>48663.960000000006</v>
      </c>
    </row>
    <row r="226" spans="1:6" x14ac:dyDescent="0.25">
      <c r="A226" t="str">
        <f>"055137"</f>
        <v>055137</v>
      </c>
      <c r="B226" t="s">
        <v>223</v>
      </c>
      <c r="C226">
        <v>387</v>
      </c>
      <c r="D226" s="6">
        <v>165418.98000000001</v>
      </c>
      <c r="E226" s="6">
        <v>54588.26</v>
      </c>
      <c r="F226" s="6">
        <v>54588.27</v>
      </c>
    </row>
    <row r="227" spans="1:6" x14ac:dyDescent="0.25">
      <c r="A227" t="str">
        <f>"055145"</f>
        <v>055145</v>
      </c>
      <c r="B227" t="s">
        <v>223</v>
      </c>
      <c r="C227">
        <v>230</v>
      </c>
      <c r="D227" s="6">
        <v>98311.02</v>
      </c>
      <c r="E227" s="6">
        <v>32442.639999999999</v>
      </c>
      <c r="F227" s="6">
        <v>32442.629999999997</v>
      </c>
    </row>
    <row r="228" spans="1:6" x14ac:dyDescent="0.25">
      <c r="A228" t="str">
        <f>"055152"</f>
        <v>055152</v>
      </c>
      <c r="B228" t="s">
        <v>224</v>
      </c>
      <c r="C228">
        <v>160</v>
      </c>
      <c r="D228" s="6">
        <v>68390.28</v>
      </c>
      <c r="E228" s="6">
        <v>22568.79</v>
      </c>
      <c r="F228" s="6">
        <v>22568.79</v>
      </c>
    </row>
    <row r="229" spans="1:6" x14ac:dyDescent="0.25">
      <c r="A229" t="str">
        <f>"055160"</f>
        <v>055160</v>
      </c>
      <c r="B229" t="s">
        <v>225</v>
      </c>
      <c r="C229">
        <v>218</v>
      </c>
      <c r="D229" s="6">
        <v>83142.679999999993</v>
      </c>
      <c r="E229" s="6">
        <v>27437.08</v>
      </c>
      <c r="F229" s="6">
        <v>27437.089999999997</v>
      </c>
    </row>
    <row r="230" spans="1:6" x14ac:dyDescent="0.25">
      <c r="A230" t="str">
        <f>"055178"</f>
        <v>055178</v>
      </c>
      <c r="B230" t="s">
        <v>225</v>
      </c>
      <c r="C230">
        <v>196</v>
      </c>
      <c r="D230" s="6">
        <v>83778.09</v>
      </c>
      <c r="E230" s="6">
        <v>27646.77</v>
      </c>
      <c r="F230" s="6">
        <v>27646.77</v>
      </c>
    </row>
    <row r="231" spans="1:6" x14ac:dyDescent="0.25">
      <c r="A231" t="str">
        <f>"055202"</f>
        <v>055202</v>
      </c>
      <c r="B231" t="s">
        <v>226</v>
      </c>
      <c r="C231">
        <v>88</v>
      </c>
      <c r="D231" s="6">
        <v>37614.65</v>
      </c>
      <c r="E231" s="6">
        <v>12412.83</v>
      </c>
      <c r="F231" s="6">
        <v>12412.839999999998</v>
      </c>
    </row>
    <row r="232" spans="1:6" x14ac:dyDescent="0.25">
      <c r="A232" t="str">
        <f>"055210"</f>
        <v>055210</v>
      </c>
      <c r="B232" t="s">
        <v>227</v>
      </c>
      <c r="C232">
        <v>463</v>
      </c>
      <c r="D232" s="6">
        <v>197904.36</v>
      </c>
      <c r="E232" s="6">
        <v>65308.44</v>
      </c>
      <c r="F232" s="6">
        <v>65308.44</v>
      </c>
    </row>
    <row r="233" spans="1:6" x14ac:dyDescent="0.25">
      <c r="A233" t="str">
        <f>"055228"</f>
        <v>055228</v>
      </c>
      <c r="B233" t="s">
        <v>228</v>
      </c>
      <c r="C233">
        <v>318</v>
      </c>
      <c r="D233" s="6">
        <v>135925.67000000001</v>
      </c>
      <c r="E233" s="6">
        <v>44855.47</v>
      </c>
      <c r="F233" s="6">
        <v>44855.47</v>
      </c>
    </row>
    <row r="234" spans="1:6" x14ac:dyDescent="0.25">
      <c r="A234" t="str">
        <f>"055244"</f>
        <v>055244</v>
      </c>
      <c r="B234" t="s">
        <v>229</v>
      </c>
      <c r="C234">
        <v>126</v>
      </c>
      <c r="D234" s="6">
        <v>53857.34</v>
      </c>
      <c r="E234" s="6">
        <v>17772.919999999998</v>
      </c>
      <c r="F234" s="6">
        <v>17772.919999999998</v>
      </c>
    </row>
    <row r="235" spans="1:6" x14ac:dyDescent="0.25">
      <c r="A235" t="str">
        <f>"055251"</f>
        <v>055251</v>
      </c>
      <c r="B235" t="s">
        <v>230</v>
      </c>
      <c r="C235">
        <v>349</v>
      </c>
      <c r="D235" s="6">
        <v>149176.29</v>
      </c>
      <c r="E235" s="6">
        <v>49228.18</v>
      </c>
      <c r="F235" s="6">
        <v>49228.170000000006</v>
      </c>
    </row>
    <row r="236" spans="1:6" x14ac:dyDescent="0.25">
      <c r="A236" t="str">
        <f>"055293"</f>
        <v>055293</v>
      </c>
      <c r="B236" t="s">
        <v>231</v>
      </c>
      <c r="C236">
        <v>271</v>
      </c>
      <c r="D236" s="6">
        <v>115836.03</v>
      </c>
      <c r="E236" s="6">
        <v>38225.89</v>
      </c>
      <c r="F236" s="6">
        <v>38225.89</v>
      </c>
    </row>
    <row r="237" spans="1:6" x14ac:dyDescent="0.25">
      <c r="A237" t="str">
        <f>"055319"</f>
        <v>055319</v>
      </c>
      <c r="B237" t="s">
        <v>232</v>
      </c>
      <c r="C237">
        <v>461</v>
      </c>
      <c r="D237" s="6">
        <v>197049.48</v>
      </c>
      <c r="E237" s="6">
        <v>65026.33</v>
      </c>
      <c r="F237" s="6">
        <v>65026.33</v>
      </c>
    </row>
    <row r="238" spans="1:6" x14ac:dyDescent="0.25">
      <c r="A238" t="str">
        <f>"055335"</f>
        <v>055335</v>
      </c>
      <c r="B238" t="s">
        <v>232</v>
      </c>
      <c r="C238">
        <v>73</v>
      </c>
      <c r="D238" s="6">
        <v>31203.06</v>
      </c>
      <c r="E238" s="6">
        <v>10297.01</v>
      </c>
      <c r="F238" s="6">
        <v>10297.01</v>
      </c>
    </row>
    <row r="239" spans="1:6" x14ac:dyDescent="0.25">
      <c r="A239" t="str">
        <f>"055368"</f>
        <v>055368</v>
      </c>
      <c r="B239" t="s">
        <v>233</v>
      </c>
      <c r="C239">
        <v>122</v>
      </c>
      <c r="D239" s="6">
        <v>52147.58</v>
      </c>
      <c r="E239" s="6">
        <v>17208.7</v>
      </c>
      <c r="F239" s="6">
        <v>17208.7</v>
      </c>
    </row>
    <row r="240" spans="1:6" x14ac:dyDescent="0.25">
      <c r="A240" t="str">
        <f>"055400"</f>
        <v>055400</v>
      </c>
      <c r="B240" t="s">
        <v>234</v>
      </c>
      <c r="C240">
        <v>82</v>
      </c>
      <c r="D240" s="6">
        <v>35050.019999999997</v>
      </c>
      <c r="E240" s="6">
        <v>11566.51</v>
      </c>
      <c r="F240" s="6">
        <v>11566.499999999998</v>
      </c>
    </row>
    <row r="241" spans="1:6" x14ac:dyDescent="0.25">
      <c r="A241" t="str">
        <f>"055418"</f>
        <v>055418</v>
      </c>
      <c r="B241" t="s">
        <v>235</v>
      </c>
      <c r="C241">
        <v>408</v>
      </c>
      <c r="D241" s="6">
        <v>174395.2</v>
      </c>
      <c r="E241" s="6">
        <v>57550.42</v>
      </c>
      <c r="F241" s="6">
        <v>57550.41</v>
      </c>
    </row>
    <row r="242" spans="1:6" x14ac:dyDescent="0.25">
      <c r="A242" t="str">
        <f>"055434"</f>
        <v>055434</v>
      </c>
      <c r="B242" t="s">
        <v>236</v>
      </c>
      <c r="C242">
        <v>148</v>
      </c>
      <c r="D242" s="6">
        <v>63261</v>
      </c>
      <c r="E242" s="6">
        <v>20876.13</v>
      </c>
      <c r="F242" s="6">
        <v>20876.13</v>
      </c>
    </row>
    <row r="243" spans="1:6" x14ac:dyDescent="0.25">
      <c r="A243" t="str">
        <f>"055442"</f>
        <v>055442</v>
      </c>
      <c r="B243" t="s">
        <v>237</v>
      </c>
      <c r="C243">
        <v>456</v>
      </c>
      <c r="D243" s="6">
        <v>194912.28</v>
      </c>
      <c r="E243" s="6">
        <v>64321.05</v>
      </c>
      <c r="F243" s="6">
        <v>64321.05</v>
      </c>
    </row>
    <row r="244" spans="1:6" x14ac:dyDescent="0.25">
      <c r="A244" t="str">
        <f>"055475"</f>
        <v>055475</v>
      </c>
      <c r="B244" t="s">
        <v>238</v>
      </c>
      <c r="C244">
        <v>177</v>
      </c>
      <c r="D244" s="6">
        <v>75656.740000000005</v>
      </c>
      <c r="E244" s="6">
        <v>24966.720000000001</v>
      </c>
      <c r="F244" s="6">
        <v>24966.729999999996</v>
      </c>
    </row>
    <row r="245" spans="1:6" x14ac:dyDescent="0.25">
      <c r="A245" t="str">
        <f>"055566"</f>
        <v>055566</v>
      </c>
      <c r="B245" t="s">
        <v>239</v>
      </c>
      <c r="C245">
        <v>692</v>
      </c>
      <c r="D245" s="6">
        <v>282940.05</v>
      </c>
      <c r="E245" s="6">
        <v>93370.22</v>
      </c>
      <c r="F245" s="6">
        <v>93370.209999999992</v>
      </c>
    </row>
    <row r="246" spans="1:6" x14ac:dyDescent="0.25">
      <c r="A246" t="str">
        <f>"055582"</f>
        <v>055582</v>
      </c>
      <c r="B246" t="s">
        <v>240</v>
      </c>
      <c r="C246">
        <v>222</v>
      </c>
      <c r="D246" s="6">
        <v>94891.51</v>
      </c>
      <c r="E246" s="6">
        <v>31314.2</v>
      </c>
      <c r="F246" s="6">
        <v>31314.2</v>
      </c>
    </row>
    <row r="247" spans="1:6" x14ac:dyDescent="0.25">
      <c r="A247" t="str">
        <f>"055590"</f>
        <v>055590</v>
      </c>
      <c r="B247" t="s">
        <v>241</v>
      </c>
      <c r="C247">
        <v>219</v>
      </c>
      <c r="D247" s="6">
        <v>93609.19</v>
      </c>
      <c r="E247" s="6">
        <v>30891.03</v>
      </c>
      <c r="F247" s="6">
        <v>30891.040000000001</v>
      </c>
    </row>
    <row r="248" spans="1:6" x14ac:dyDescent="0.25">
      <c r="A248" t="str">
        <f>"055608"</f>
        <v>055608</v>
      </c>
      <c r="B248" t="s">
        <v>242</v>
      </c>
      <c r="C248">
        <v>322</v>
      </c>
      <c r="D248" s="6">
        <v>137635.43</v>
      </c>
      <c r="E248" s="6">
        <v>45419.69</v>
      </c>
      <c r="F248" s="6">
        <v>45419.69</v>
      </c>
    </row>
    <row r="249" spans="1:6" x14ac:dyDescent="0.25">
      <c r="A249" t="str">
        <f>"055632"</f>
        <v>055632</v>
      </c>
      <c r="B249" t="s">
        <v>243</v>
      </c>
      <c r="C249">
        <v>142</v>
      </c>
      <c r="D249" s="6">
        <v>60696.37</v>
      </c>
      <c r="E249" s="6">
        <v>20029.8</v>
      </c>
      <c r="F249" s="6">
        <v>20029.8</v>
      </c>
    </row>
    <row r="250" spans="1:6" x14ac:dyDescent="0.25">
      <c r="A250" t="str">
        <f>"055640"</f>
        <v>055640</v>
      </c>
      <c r="B250" t="s">
        <v>244</v>
      </c>
      <c r="C250">
        <v>226</v>
      </c>
      <c r="D250" s="6">
        <v>96601.26</v>
      </c>
      <c r="E250" s="6">
        <v>31878.42</v>
      </c>
      <c r="F250" s="6">
        <v>31878.410000000003</v>
      </c>
    </row>
    <row r="251" spans="1:6" x14ac:dyDescent="0.25">
      <c r="A251" t="str">
        <f>"055657"</f>
        <v>055657</v>
      </c>
      <c r="B251" t="s">
        <v>245</v>
      </c>
      <c r="C251">
        <v>238</v>
      </c>
      <c r="D251" s="6">
        <v>101730.53</v>
      </c>
      <c r="E251" s="6">
        <v>33571.07</v>
      </c>
      <c r="F251" s="6">
        <v>33571.079999999994</v>
      </c>
    </row>
    <row r="252" spans="1:6" x14ac:dyDescent="0.25">
      <c r="A252" t="str">
        <f>"055749"</f>
        <v>055749</v>
      </c>
      <c r="B252" t="s">
        <v>246</v>
      </c>
      <c r="C252">
        <v>176</v>
      </c>
      <c r="D252" s="6">
        <v>75229.3</v>
      </c>
      <c r="E252" s="6">
        <v>24825.67</v>
      </c>
      <c r="F252" s="6">
        <v>24825.67</v>
      </c>
    </row>
    <row r="253" spans="1:6" x14ac:dyDescent="0.25">
      <c r="A253" t="str">
        <f>"055814"</f>
        <v>055814</v>
      </c>
      <c r="B253" t="s">
        <v>247</v>
      </c>
      <c r="C253">
        <v>400</v>
      </c>
      <c r="D253" s="6">
        <v>170975.69</v>
      </c>
      <c r="E253" s="6">
        <v>56421.98</v>
      </c>
      <c r="F253" s="6">
        <v>56421.98</v>
      </c>
    </row>
    <row r="254" spans="1:6" x14ac:dyDescent="0.25">
      <c r="A254" t="str">
        <f>"055822"</f>
        <v>055822</v>
      </c>
      <c r="B254" t="s">
        <v>248</v>
      </c>
      <c r="C254">
        <v>275</v>
      </c>
      <c r="D254" s="6">
        <v>117545.79</v>
      </c>
      <c r="E254" s="6">
        <v>38790.11</v>
      </c>
      <c r="F254" s="6">
        <v>38790.11</v>
      </c>
    </row>
    <row r="255" spans="1:6" x14ac:dyDescent="0.25">
      <c r="A255" t="str">
        <f>"055855"</f>
        <v>055855</v>
      </c>
      <c r="B255" t="s">
        <v>249</v>
      </c>
      <c r="C255">
        <v>185</v>
      </c>
      <c r="D255" s="6">
        <v>79076.259999999995</v>
      </c>
      <c r="E255" s="6">
        <v>26095.17</v>
      </c>
      <c r="F255" s="6">
        <v>26095.160000000003</v>
      </c>
    </row>
    <row r="256" spans="1:6" x14ac:dyDescent="0.25">
      <c r="A256" t="str">
        <f>"055913"</f>
        <v>055913</v>
      </c>
      <c r="B256" t="s">
        <v>250</v>
      </c>
      <c r="C256">
        <v>401</v>
      </c>
      <c r="D256" s="6">
        <v>171403.13</v>
      </c>
      <c r="E256" s="6">
        <v>56563.03</v>
      </c>
      <c r="F256" s="6">
        <v>56563.040000000008</v>
      </c>
    </row>
    <row r="257" spans="1:6" x14ac:dyDescent="0.25">
      <c r="A257" t="str">
        <f>"055947"</f>
        <v>055947</v>
      </c>
      <c r="B257" t="s">
        <v>251</v>
      </c>
      <c r="C257">
        <v>160</v>
      </c>
      <c r="D257" s="6">
        <v>68390.28</v>
      </c>
      <c r="E257" s="6">
        <v>22568.79</v>
      </c>
      <c r="F257" s="6">
        <v>22568.79</v>
      </c>
    </row>
    <row r="258" spans="1:6" x14ac:dyDescent="0.25">
      <c r="A258" t="str">
        <f>"056010"</f>
        <v>056010</v>
      </c>
      <c r="B258" t="s">
        <v>252</v>
      </c>
      <c r="C258">
        <v>209</v>
      </c>
      <c r="D258" s="6">
        <v>89334.8</v>
      </c>
      <c r="E258" s="6">
        <v>29480.48</v>
      </c>
      <c r="F258" s="6">
        <v>29480.49</v>
      </c>
    </row>
    <row r="259" spans="1:6" x14ac:dyDescent="0.25">
      <c r="A259" t="str">
        <f>"056036"</f>
        <v>056036</v>
      </c>
      <c r="B259" t="s">
        <v>253</v>
      </c>
      <c r="C259">
        <v>162</v>
      </c>
      <c r="D259" s="6">
        <v>69245.149999999994</v>
      </c>
      <c r="E259" s="6">
        <v>22850.9</v>
      </c>
      <c r="F259" s="6">
        <v>22850.9</v>
      </c>
    </row>
    <row r="260" spans="1:6" x14ac:dyDescent="0.25">
      <c r="A260" t="str">
        <f>"056051"</f>
        <v>056051</v>
      </c>
      <c r="B260" t="s">
        <v>254</v>
      </c>
      <c r="C260">
        <v>271</v>
      </c>
      <c r="D260" s="6">
        <v>115836.03</v>
      </c>
      <c r="E260" s="6">
        <v>38225.89</v>
      </c>
      <c r="F260" s="6">
        <v>38225.89</v>
      </c>
    </row>
    <row r="261" spans="1:6" x14ac:dyDescent="0.25">
      <c r="A261" t="str">
        <f>"056069"</f>
        <v>056069</v>
      </c>
      <c r="B261" t="s">
        <v>255</v>
      </c>
      <c r="C261">
        <v>239</v>
      </c>
      <c r="D261" s="6">
        <v>102157.97</v>
      </c>
      <c r="E261" s="6">
        <v>33712.129999999997</v>
      </c>
      <c r="F261" s="6">
        <v>33712.129999999997</v>
      </c>
    </row>
    <row r="262" spans="1:6" x14ac:dyDescent="0.25">
      <c r="A262" t="str">
        <f>"056127"</f>
        <v>056127</v>
      </c>
      <c r="B262" t="s">
        <v>256</v>
      </c>
      <c r="C262">
        <v>255</v>
      </c>
      <c r="D262" s="6">
        <v>104141.94</v>
      </c>
      <c r="E262" s="6">
        <v>34366.839999999997</v>
      </c>
      <c r="F262" s="6">
        <v>34366.839999999997</v>
      </c>
    </row>
    <row r="263" spans="1:6" x14ac:dyDescent="0.25">
      <c r="A263" t="str">
        <f>"056143"</f>
        <v>056143</v>
      </c>
      <c r="B263" t="s">
        <v>257</v>
      </c>
      <c r="C263">
        <v>393</v>
      </c>
      <c r="D263" s="6">
        <v>167983.61</v>
      </c>
      <c r="E263" s="6">
        <v>55434.59</v>
      </c>
      <c r="F263" s="6">
        <v>55434.59</v>
      </c>
    </row>
    <row r="264" spans="1:6" x14ac:dyDescent="0.25">
      <c r="A264" t="str">
        <f>"056242"</f>
        <v>056242</v>
      </c>
      <c r="B264" t="s">
        <v>258</v>
      </c>
      <c r="C264">
        <v>142</v>
      </c>
      <c r="D264" s="6">
        <v>60095.5</v>
      </c>
      <c r="E264" s="6">
        <v>19831.52</v>
      </c>
      <c r="F264" s="6">
        <v>19831.509999999998</v>
      </c>
    </row>
    <row r="265" spans="1:6" x14ac:dyDescent="0.25">
      <c r="A265" t="str">
        <f>"056267"</f>
        <v>056267</v>
      </c>
      <c r="B265" t="s">
        <v>259</v>
      </c>
      <c r="C265">
        <v>186</v>
      </c>
      <c r="D265" s="6">
        <v>79503.69</v>
      </c>
      <c r="E265" s="6">
        <v>26236.22</v>
      </c>
      <c r="F265" s="6">
        <v>26236.22</v>
      </c>
    </row>
    <row r="266" spans="1:6" x14ac:dyDescent="0.25">
      <c r="A266" t="str">
        <f>"056275"</f>
        <v>056275</v>
      </c>
      <c r="B266" t="s">
        <v>260</v>
      </c>
      <c r="C266">
        <v>470</v>
      </c>
      <c r="D266" s="6">
        <v>200896.43</v>
      </c>
      <c r="E266" s="6">
        <v>66295.820000000007</v>
      </c>
      <c r="F266" s="6">
        <v>66295.820000000007</v>
      </c>
    </row>
    <row r="267" spans="1:6" x14ac:dyDescent="0.25">
      <c r="A267" t="str">
        <f>"056283"</f>
        <v>056283</v>
      </c>
      <c r="B267" t="s">
        <v>155</v>
      </c>
      <c r="C267">
        <v>181</v>
      </c>
      <c r="D267" s="6">
        <v>77366.5</v>
      </c>
      <c r="E267" s="6">
        <v>25530.95</v>
      </c>
      <c r="F267" s="6">
        <v>25530.94</v>
      </c>
    </row>
    <row r="268" spans="1:6" x14ac:dyDescent="0.25">
      <c r="A268" t="str">
        <f>"056358"</f>
        <v>056358</v>
      </c>
      <c r="B268" t="s">
        <v>261</v>
      </c>
      <c r="C268">
        <v>169</v>
      </c>
      <c r="D268" s="6">
        <v>72237.23</v>
      </c>
      <c r="E268" s="6">
        <v>23838.29</v>
      </c>
      <c r="F268" s="6">
        <v>23838.28</v>
      </c>
    </row>
    <row r="269" spans="1:6" x14ac:dyDescent="0.25">
      <c r="A269" t="str">
        <f>"056366"</f>
        <v>056366</v>
      </c>
      <c r="B269" t="s">
        <v>262</v>
      </c>
      <c r="C269">
        <v>698</v>
      </c>
      <c r="D269" s="6">
        <v>298352.58</v>
      </c>
      <c r="E269" s="6">
        <v>98456.35</v>
      </c>
      <c r="F269" s="6">
        <v>98456.35</v>
      </c>
    </row>
    <row r="270" spans="1:6" x14ac:dyDescent="0.25">
      <c r="A270" t="str">
        <f>"056390"</f>
        <v>056390</v>
      </c>
      <c r="B270" t="s">
        <v>263</v>
      </c>
      <c r="C270">
        <v>109</v>
      </c>
      <c r="D270" s="6">
        <v>46590.87</v>
      </c>
      <c r="E270" s="6">
        <v>15374.99</v>
      </c>
      <c r="F270" s="6">
        <v>15374.980000000001</v>
      </c>
    </row>
    <row r="271" spans="1:6" x14ac:dyDescent="0.25">
      <c r="A271" t="str">
        <f>"056408"</f>
        <v>056408</v>
      </c>
      <c r="B271" t="s">
        <v>232</v>
      </c>
      <c r="C271">
        <v>220</v>
      </c>
      <c r="D271" s="6">
        <v>94036.63</v>
      </c>
      <c r="E271" s="6">
        <v>31032.09</v>
      </c>
      <c r="F271" s="6">
        <v>31032.09</v>
      </c>
    </row>
    <row r="272" spans="1:6" x14ac:dyDescent="0.25">
      <c r="A272" t="str">
        <f>"056416"</f>
        <v>056416</v>
      </c>
      <c r="B272" t="s">
        <v>264</v>
      </c>
      <c r="C272">
        <v>142</v>
      </c>
      <c r="D272" s="6">
        <v>60696.37</v>
      </c>
      <c r="E272" s="6">
        <v>20029.8</v>
      </c>
      <c r="F272" s="6">
        <v>20029.8</v>
      </c>
    </row>
    <row r="273" spans="1:6" x14ac:dyDescent="0.25">
      <c r="A273" t="str">
        <f>"056424"</f>
        <v>056424</v>
      </c>
      <c r="B273" t="s">
        <v>241</v>
      </c>
      <c r="C273">
        <v>224</v>
      </c>
      <c r="D273" s="6">
        <v>95746.39</v>
      </c>
      <c r="E273" s="6">
        <v>31596.31</v>
      </c>
      <c r="F273" s="6">
        <v>31596.31</v>
      </c>
    </row>
    <row r="274" spans="1:6" x14ac:dyDescent="0.25">
      <c r="A274" t="str">
        <f>"056432"</f>
        <v>056432</v>
      </c>
      <c r="B274" t="s">
        <v>142</v>
      </c>
      <c r="C274">
        <v>167</v>
      </c>
      <c r="D274" s="6">
        <v>71382.350000000006</v>
      </c>
      <c r="E274" s="6">
        <v>23556.18</v>
      </c>
      <c r="F274" s="6">
        <v>23556.17</v>
      </c>
    </row>
    <row r="275" spans="1:6" x14ac:dyDescent="0.25">
      <c r="A275" t="str">
        <f>"056440"</f>
        <v>056440</v>
      </c>
      <c r="B275" t="s">
        <v>265</v>
      </c>
      <c r="C275">
        <v>210</v>
      </c>
      <c r="D275" s="6">
        <v>89762.240000000005</v>
      </c>
      <c r="E275" s="6">
        <v>29621.54</v>
      </c>
      <c r="F275" s="6">
        <v>29621.54</v>
      </c>
    </row>
    <row r="276" spans="1:6" x14ac:dyDescent="0.25">
      <c r="A276" t="str">
        <f>"056481"</f>
        <v>056481</v>
      </c>
      <c r="B276" t="s">
        <v>266</v>
      </c>
      <c r="C276">
        <v>306</v>
      </c>
      <c r="D276" s="6">
        <v>130796.4</v>
      </c>
      <c r="E276" s="6">
        <v>43162.81</v>
      </c>
      <c r="F276" s="6">
        <v>43162.81</v>
      </c>
    </row>
    <row r="277" spans="1:6" x14ac:dyDescent="0.25">
      <c r="A277" t="str">
        <f>"056531"</f>
        <v>056531</v>
      </c>
      <c r="B277" t="s">
        <v>267</v>
      </c>
      <c r="C277">
        <v>430</v>
      </c>
      <c r="D277" s="6">
        <v>183798.86</v>
      </c>
      <c r="E277" s="6">
        <v>60653.62</v>
      </c>
      <c r="F277" s="6">
        <v>60653.63</v>
      </c>
    </row>
    <row r="278" spans="1:6" x14ac:dyDescent="0.25">
      <c r="A278" t="str">
        <f>"056549"</f>
        <v>056549</v>
      </c>
      <c r="B278" t="s">
        <v>268</v>
      </c>
      <c r="C278">
        <v>391</v>
      </c>
      <c r="D278" s="6">
        <v>167128.73000000001</v>
      </c>
      <c r="E278" s="6">
        <v>55152.480000000003</v>
      </c>
      <c r="F278" s="6">
        <v>55152.480000000003</v>
      </c>
    </row>
    <row r="279" spans="1:6" x14ac:dyDescent="0.25">
      <c r="A279" t="str">
        <f>"056556"</f>
        <v>056556</v>
      </c>
      <c r="B279" t="s">
        <v>269</v>
      </c>
      <c r="C279">
        <v>359</v>
      </c>
      <c r="D279" s="6">
        <v>153450.68</v>
      </c>
      <c r="E279" s="6">
        <v>50638.720000000001</v>
      </c>
      <c r="F279" s="6">
        <v>50638.729999999996</v>
      </c>
    </row>
    <row r="280" spans="1:6" x14ac:dyDescent="0.25">
      <c r="A280" t="str">
        <f>"056580"</f>
        <v>056580</v>
      </c>
      <c r="B280" t="s">
        <v>270</v>
      </c>
      <c r="C280">
        <v>329</v>
      </c>
      <c r="D280" s="6">
        <v>140627.5</v>
      </c>
      <c r="E280" s="6">
        <v>46407.08</v>
      </c>
      <c r="F280" s="6">
        <v>46407.069999999992</v>
      </c>
    </row>
    <row r="281" spans="1:6" x14ac:dyDescent="0.25">
      <c r="A281" t="str">
        <f>"056598"</f>
        <v>056598</v>
      </c>
      <c r="B281" t="s">
        <v>271</v>
      </c>
      <c r="C281">
        <v>357</v>
      </c>
      <c r="D281" s="6">
        <v>152595.79999999999</v>
      </c>
      <c r="E281" s="6">
        <v>50356.61</v>
      </c>
      <c r="F281" s="6">
        <v>50356.619999999995</v>
      </c>
    </row>
    <row r="282" spans="1:6" x14ac:dyDescent="0.25">
      <c r="A282" t="str">
        <f>"056606"</f>
        <v>056606</v>
      </c>
      <c r="B282" t="s">
        <v>235</v>
      </c>
      <c r="C282">
        <v>268</v>
      </c>
      <c r="D282" s="6">
        <v>114553.71</v>
      </c>
      <c r="E282" s="6">
        <v>37802.720000000001</v>
      </c>
      <c r="F282" s="6">
        <v>37802.729999999996</v>
      </c>
    </row>
    <row r="283" spans="1:6" x14ac:dyDescent="0.25">
      <c r="A283" t="str">
        <f>"056648"</f>
        <v>056648</v>
      </c>
      <c r="B283" t="s">
        <v>272</v>
      </c>
      <c r="C283">
        <v>453</v>
      </c>
      <c r="D283" s="6">
        <v>193629.97</v>
      </c>
      <c r="E283" s="6">
        <v>63897.89</v>
      </c>
      <c r="F283" s="6">
        <v>63897.89</v>
      </c>
    </row>
    <row r="284" spans="1:6" x14ac:dyDescent="0.25">
      <c r="A284" t="str">
        <f>"056655"</f>
        <v>056655</v>
      </c>
      <c r="B284" t="s">
        <v>273</v>
      </c>
      <c r="C284">
        <v>151</v>
      </c>
      <c r="D284" s="6">
        <v>64543.32</v>
      </c>
      <c r="E284" s="6">
        <v>21299.3</v>
      </c>
      <c r="F284" s="6">
        <v>21299.289999999997</v>
      </c>
    </row>
    <row r="285" spans="1:6" x14ac:dyDescent="0.25">
      <c r="A285" t="str">
        <f>"056689"</f>
        <v>056689</v>
      </c>
      <c r="B285" t="s">
        <v>274</v>
      </c>
      <c r="C285">
        <v>108</v>
      </c>
      <c r="D285" s="6">
        <v>46163.44</v>
      </c>
      <c r="E285" s="6">
        <v>15233.94</v>
      </c>
      <c r="F285" s="6">
        <v>15233.929999999998</v>
      </c>
    </row>
    <row r="286" spans="1:6" x14ac:dyDescent="0.25">
      <c r="A286" t="str">
        <f>"056697"</f>
        <v>056697</v>
      </c>
      <c r="B286" t="s">
        <v>275</v>
      </c>
      <c r="C286">
        <v>152</v>
      </c>
      <c r="D286" s="6">
        <v>64970.76</v>
      </c>
      <c r="E286" s="6">
        <v>21440.35</v>
      </c>
      <c r="F286" s="6">
        <v>21440.35</v>
      </c>
    </row>
    <row r="287" spans="1:6" x14ac:dyDescent="0.25">
      <c r="A287" t="str">
        <f>"056713"</f>
        <v>056713</v>
      </c>
      <c r="B287" t="s">
        <v>195</v>
      </c>
      <c r="C287">
        <v>814</v>
      </c>
      <c r="D287" s="6">
        <v>347935.52</v>
      </c>
      <c r="E287" s="6">
        <v>114818.72</v>
      </c>
      <c r="F287" s="6">
        <v>114818.72</v>
      </c>
    </row>
    <row r="288" spans="1:6" x14ac:dyDescent="0.25">
      <c r="A288" t="str">
        <f>"056721"</f>
        <v>056721</v>
      </c>
      <c r="B288" t="s">
        <v>276</v>
      </c>
      <c r="C288">
        <v>193</v>
      </c>
      <c r="D288" s="6">
        <v>82495.77</v>
      </c>
      <c r="E288" s="6">
        <v>27223.599999999999</v>
      </c>
      <c r="F288" s="6">
        <v>27223.61</v>
      </c>
    </row>
    <row r="289" spans="1:6" x14ac:dyDescent="0.25">
      <c r="A289" t="str">
        <f>"056739"</f>
        <v>056739</v>
      </c>
      <c r="B289" t="s">
        <v>181</v>
      </c>
      <c r="C289">
        <v>196</v>
      </c>
      <c r="D289" s="6">
        <v>83778.09</v>
      </c>
      <c r="E289" s="6">
        <v>27646.77</v>
      </c>
      <c r="F289" s="6">
        <v>27646.77</v>
      </c>
    </row>
    <row r="290" spans="1:6" x14ac:dyDescent="0.25">
      <c r="A290" t="str">
        <f>"056747"</f>
        <v>056747</v>
      </c>
      <c r="B290" t="s">
        <v>277</v>
      </c>
      <c r="C290">
        <v>230</v>
      </c>
      <c r="D290" s="6">
        <v>98311.02</v>
      </c>
      <c r="E290" s="6">
        <v>32442.639999999999</v>
      </c>
      <c r="F290" s="6">
        <v>32442.629999999997</v>
      </c>
    </row>
    <row r="291" spans="1:6" x14ac:dyDescent="0.25">
      <c r="A291" t="str">
        <f>"056754"</f>
        <v>056754</v>
      </c>
      <c r="B291" t="s">
        <v>278</v>
      </c>
      <c r="C291">
        <v>197</v>
      </c>
      <c r="D291" s="6">
        <v>84205.53</v>
      </c>
      <c r="E291" s="6">
        <v>27787.82</v>
      </c>
      <c r="F291" s="6">
        <v>27787.83</v>
      </c>
    </row>
    <row r="292" spans="1:6" x14ac:dyDescent="0.25">
      <c r="A292" t="str">
        <f>"056762"</f>
        <v>056762</v>
      </c>
      <c r="B292" t="s">
        <v>209</v>
      </c>
      <c r="C292">
        <v>333</v>
      </c>
      <c r="D292" s="6">
        <v>142337.26</v>
      </c>
      <c r="E292" s="6">
        <v>46971.3</v>
      </c>
      <c r="F292" s="6">
        <v>46971.289999999994</v>
      </c>
    </row>
    <row r="293" spans="1:6" x14ac:dyDescent="0.25">
      <c r="A293" t="str">
        <f>"056770"</f>
        <v>056770</v>
      </c>
      <c r="B293" t="s">
        <v>279</v>
      </c>
      <c r="C293">
        <v>361</v>
      </c>
      <c r="D293" s="6">
        <v>154305.56</v>
      </c>
      <c r="E293" s="6">
        <v>50920.83</v>
      </c>
      <c r="F293" s="6">
        <v>50920.84</v>
      </c>
    </row>
    <row r="294" spans="1:6" x14ac:dyDescent="0.25">
      <c r="A294" t="str">
        <f>"056804"</f>
        <v>056804</v>
      </c>
      <c r="B294" t="s">
        <v>210</v>
      </c>
      <c r="C294">
        <v>291</v>
      </c>
      <c r="D294" s="6">
        <v>124384.81</v>
      </c>
      <c r="E294" s="6">
        <v>41046.99</v>
      </c>
      <c r="F294" s="6">
        <v>41046.980000000003</v>
      </c>
    </row>
    <row r="295" spans="1:6" x14ac:dyDescent="0.25">
      <c r="A295" t="str">
        <f>"056812"</f>
        <v>056812</v>
      </c>
      <c r="B295" t="s">
        <v>213</v>
      </c>
      <c r="C295">
        <v>188</v>
      </c>
      <c r="D295" s="6">
        <v>80358.570000000007</v>
      </c>
      <c r="E295" s="6">
        <v>26518.33</v>
      </c>
      <c r="F295" s="6">
        <v>26518.33</v>
      </c>
    </row>
    <row r="296" spans="1:6" x14ac:dyDescent="0.25">
      <c r="A296" t="str">
        <f>"056820"</f>
        <v>056820</v>
      </c>
      <c r="B296" t="s">
        <v>280</v>
      </c>
      <c r="C296">
        <v>285</v>
      </c>
      <c r="D296" s="6">
        <v>121820.18</v>
      </c>
      <c r="E296" s="6">
        <v>40200.660000000003</v>
      </c>
      <c r="F296" s="6">
        <v>40200.660000000003</v>
      </c>
    </row>
    <row r="297" spans="1:6" x14ac:dyDescent="0.25">
      <c r="A297" t="str">
        <f>"056853"</f>
        <v>056853</v>
      </c>
      <c r="B297" t="s">
        <v>281</v>
      </c>
      <c r="C297">
        <v>614</v>
      </c>
      <c r="D297" s="6">
        <v>262447.68</v>
      </c>
      <c r="E297" s="6">
        <v>86607.73</v>
      </c>
      <c r="F297" s="6">
        <v>86607.74</v>
      </c>
    </row>
    <row r="298" spans="1:6" x14ac:dyDescent="0.25">
      <c r="A298" t="str">
        <f>"056861"</f>
        <v>056861</v>
      </c>
      <c r="B298" t="s">
        <v>282</v>
      </c>
      <c r="C298">
        <v>631</v>
      </c>
      <c r="D298" s="6">
        <v>269714.15000000002</v>
      </c>
      <c r="E298" s="6">
        <v>89005.67</v>
      </c>
      <c r="F298" s="6">
        <v>89005.67</v>
      </c>
    </row>
    <row r="299" spans="1:6" x14ac:dyDescent="0.25">
      <c r="A299" t="str">
        <f>"056887"</f>
        <v>056887</v>
      </c>
      <c r="B299" t="s">
        <v>203</v>
      </c>
      <c r="C299">
        <v>368</v>
      </c>
      <c r="D299" s="6">
        <v>157297.63</v>
      </c>
      <c r="E299" s="6">
        <v>51908.22</v>
      </c>
      <c r="F299" s="6">
        <v>51908.22</v>
      </c>
    </row>
    <row r="300" spans="1:6" x14ac:dyDescent="0.25">
      <c r="A300" t="str">
        <f>"056911"</f>
        <v>056911</v>
      </c>
      <c r="B300" t="s">
        <v>283</v>
      </c>
      <c r="C300">
        <v>124</v>
      </c>
      <c r="D300" s="6">
        <v>53002.46</v>
      </c>
      <c r="E300" s="6">
        <v>17490.810000000001</v>
      </c>
      <c r="F300" s="6">
        <v>17490.810000000001</v>
      </c>
    </row>
    <row r="301" spans="1:6" x14ac:dyDescent="0.25">
      <c r="A301" t="str">
        <f>"056937"</f>
        <v>056937</v>
      </c>
      <c r="B301" t="s">
        <v>284</v>
      </c>
      <c r="C301">
        <v>210</v>
      </c>
      <c r="D301" s="6">
        <v>89762.240000000005</v>
      </c>
      <c r="E301" s="6">
        <v>29621.54</v>
      </c>
      <c r="F301" s="6">
        <v>29621.54</v>
      </c>
    </row>
    <row r="302" spans="1:6" x14ac:dyDescent="0.25">
      <c r="A302" t="str">
        <f>"056945"</f>
        <v>056945</v>
      </c>
      <c r="B302" t="s">
        <v>285</v>
      </c>
      <c r="C302">
        <v>364</v>
      </c>
      <c r="D302" s="6">
        <v>155587.88</v>
      </c>
      <c r="E302" s="6">
        <v>51344</v>
      </c>
      <c r="F302" s="6">
        <v>51344</v>
      </c>
    </row>
    <row r="303" spans="1:6" x14ac:dyDescent="0.25">
      <c r="A303" t="str">
        <f>"056994"</f>
        <v>056994</v>
      </c>
      <c r="B303" t="s">
        <v>277</v>
      </c>
      <c r="C303">
        <v>162</v>
      </c>
      <c r="D303" s="6">
        <v>69245.149999999994</v>
      </c>
      <c r="E303" s="6">
        <v>22850.9</v>
      </c>
      <c r="F303" s="6">
        <v>22850.9</v>
      </c>
    </row>
    <row r="304" spans="1:6" x14ac:dyDescent="0.25">
      <c r="A304" t="str">
        <f>"057018"</f>
        <v>057018</v>
      </c>
      <c r="B304" t="s">
        <v>140</v>
      </c>
      <c r="C304">
        <v>297</v>
      </c>
      <c r="D304" s="6">
        <v>126949.45</v>
      </c>
      <c r="E304" s="6">
        <v>41893.32</v>
      </c>
      <c r="F304" s="6">
        <v>41893.32</v>
      </c>
    </row>
    <row r="305" spans="1:6" x14ac:dyDescent="0.25">
      <c r="A305" t="str">
        <f>"057034"</f>
        <v>057034</v>
      </c>
      <c r="B305" t="s">
        <v>286</v>
      </c>
      <c r="C305">
        <v>571</v>
      </c>
      <c r="D305" s="6">
        <v>244067.79</v>
      </c>
      <c r="E305" s="6">
        <v>80542.37</v>
      </c>
      <c r="F305" s="6">
        <v>80542.37</v>
      </c>
    </row>
    <row r="306" spans="1:6" x14ac:dyDescent="0.25">
      <c r="A306" t="str">
        <f>"057067"</f>
        <v>057067</v>
      </c>
      <c r="B306" t="s">
        <v>287</v>
      </c>
      <c r="C306">
        <v>179</v>
      </c>
      <c r="D306" s="6">
        <v>76511.62</v>
      </c>
      <c r="E306" s="6">
        <v>25248.83</v>
      </c>
      <c r="F306" s="6">
        <v>25248.839999999997</v>
      </c>
    </row>
    <row r="307" spans="1:6" x14ac:dyDescent="0.25">
      <c r="A307" t="str">
        <f>"057075"</f>
        <v>057075</v>
      </c>
      <c r="B307" t="s">
        <v>288</v>
      </c>
      <c r="C307">
        <v>141</v>
      </c>
      <c r="D307" s="6">
        <v>60268.93</v>
      </c>
      <c r="E307" s="6">
        <v>19888.75</v>
      </c>
      <c r="F307" s="6">
        <v>19888.739999999998</v>
      </c>
    </row>
    <row r="308" spans="1:6" x14ac:dyDescent="0.25">
      <c r="A308" t="str">
        <f>"057109"</f>
        <v>057109</v>
      </c>
      <c r="B308" t="s">
        <v>289</v>
      </c>
      <c r="C308">
        <v>179</v>
      </c>
      <c r="D308" s="6">
        <v>76511.62</v>
      </c>
      <c r="E308" s="6">
        <v>25248.83</v>
      </c>
      <c r="F308" s="6">
        <v>25248.839999999997</v>
      </c>
    </row>
    <row r="309" spans="1:6" x14ac:dyDescent="0.25">
      <c r="A309" t="str">
        <f>"057117"</f>
        <v>057117</v>
      </c>
      <c r="B309" t="s">
        <v>225</v>
      </c>
      <c r="C309">
        <v>149</v>
      </c>
      <c r="D309" s="6">
        <v>63688.44</v>
      </c>
      <c r="E309" s="6">
        <v>21017.19</v>
      </c>
      <c r="F309" s="6">
        <v>21017.180000000004</v>
      </c>
    </row>
    <row r="310" spans="1:6" x14ac:dyDescent="0.25">
      <c r="A310" t="str">
        <f>"057125"</f>
        <v>057125</v>
      </c>
      <c r="B310" t="s">
        <v>139</v>
      </c>
      <c r="C310">
        <v>126</v>
      </c>
      <c r="D310" s="6">
        <v>53857.34</v>
      </c>
      <c r="E310" s="6">
        <v>17772.919999999998</v>
      </c>
      <c r="F310" s="6">
        <v>17772.919999999998</v>
      </c>
    </row>
    <row r="311" spans="1:6" x14ac:dyDescent="0.25">
      <c r="A311" t="str">
        <f>"057133"</f>
        <v>057133</v>
      </c>
      <c r="B311" t="s">
        <v>290</v>
      </c>
      <c r="C311">
        <v>497</v>
      </c>
      <c r="D311" s="6">
        <v>212437.29</v>
      </c>
      <c r="E311" s="6">
        <v>70104.31</v>
      </c>
      <c r="F311" s="6">
        <v>70104.299999999988</v>
      </c>
    </row>
    <row r="312" spans="1:6" x14ac:dyDescent="0.25">
      <c r="A312" t="str">
        <f>"057141"</f>
        <v>057141</v>
      </c>
      <c r="B312" t="s">
        <v>291</v>
      </c>
      <c r="C312">
        <v>191</v>
      </c>
      <c r="D312" s="6">
        <v>81640.89</v>
      </c>
      <c r="E312" s="6">
        <v>26941.49</v>
      </c>
      <c r="F312" s="6">
        <v>26941.499999999996</v>
      </c>
    </row>
    <row r="313" spans="1:6" x14ac:dyDescent="0.25">
      <c r="A313" t="str">
        <f>"057158"</f>
        <v>057158</v>
      </c>
      <c r="B313" t="s">
        <v>225</v>
      </c>
      <c r="C313">
        <v>255</v>
      </c>
      <c r="D313" s="6">
        <v>108997</v>
      </c>
      <c r="E313" s="6">
        <v>35969.01</v>
      </c>
      <c r="F313" s="6">
        <v>35969.01</v>
      </c>
    </row>
    <row r="314" spans="1:6" x14ac:dyDescent="0.25">
      <c r="A314" t="str">
        <f>"057182"</f>
        <v>057182</v>
      </c>
      <c r="B314" t="s">
        <v>292</v>
      </c>
      <c r="C314">
        <v>235</v>
      </c>
      <c r="D314" s="6">
        <v>100448.22</v>
      </c>
      <c r="E314" s="6">
        <v>33147.910000000003</v>
      </c>
      <c r="F314" s="6">
        <v>33147.919999999998</v>
      </c>
    </row>
    <row r="315" spans="1:6" x14ac:dyDescent="0.25">
      <c r="A315" t="str">
        <f>"057208"</f>
        <v>057208</v>
      </c>
      <c r="B315" t="s">
        <v>293</v>
      </c>
      <c r="C315">
        <v>478</v>
      </c>
      <c r="D315" s="6">
        <v>204315.95</v>
      </c>
      <c r="E315" s="6">
        <v>67424.259999999995</v>
      </c>
      <c r="F315" s="6">
        <v>67424.27</v>
      </c>
    </row>
    <row r="316" spans="1:6" x14ac:dyDescent="0.25">
      <c r="A316" t="str">
        <f>"057216"</f>
        <v>057216</v>
      </c>
      <c r="B316" t="s">
        <v>294</v>
      </c>
      <c r="C316">
        <v>488</v>
      </c>
      <c r="D316" s="6">
        <v>208590.34</v>
      </c>
      <c r="E316" s="6">
        <v>68834.81</v>
      </c>
      <c r="F316" s="6">
        <v>68834.81</v>
      </c>
    </row>
    <row r="317" spans="1:6" x14ac:dyDescent="0.25">
      <c r="A317" t="str">
        <f>"057224"</f>
        <v>057224</v>
      </c>
      <c r="B317" t="s">
        <v>232</v>
      </c>
      <c r="C317">
        <v>168</v>
      </c>
      <c r="D317" s="6">
        <v>71809.789999999994</v>
      </c>
      <c r="E317" s="6">
        <v>23697.23</v>
      </c>
      <c r="F317" s="6">
        <v>23697.23</v>
      </c>
    </row>
    <row r="318" spans="1:6" x14ac:dyDescent="0.25">
      <c r="A318" t="str">
        <f>"057232"</f>
        <v>057232</v>
      </c>
      <c r="B318" t="s">
        <v>184</v>
      </c>
      <c r="C318">
        <v>269</v>
      </c>
      <c r="D318" s="6">
        <v>114981.15</v>
      </c>
      <c r="E318" s="6">
        <v>37943.78</v>
      </c>
      <c r="F318" s="6">
        <v>37943.78</v>
      </c>
    </row>
    <row r="319" spans="1:6" x14ac:dyDescent="0.25">
      <c r="A319" t="str">
        <f>"057240"</f>
        <v>057240</v>
      </c>
      <c r="B319" t="s">
        <v>225</v>
      </c>
      <c r="C319">
        <v>178</v>
      </c>
      <c r="D319" s="6">
        <v>76084.179999999993</v>
      </c>
      <c r="E319" s="6">
        <v>25107.78</v>
      </c>
      <c r="F319" s="6">
        <v>25107.78</v>
      </c>
    </row>
    <row r="320" spans="1:6" x14ac:dyDescent="0.25">
      <c r="A320" t="str">
        <f>"057257"</f>
        <v>057257</v>
      </c>
      <c r="B320" t="s">
        <v>295</v>
      </c>
      <c r="C320">
        <v>40</v>
      </c>
      <c r="D320" s="6">
        <v>17097.57</v>
      </c>
      <c r="E320" s="6">
        <v>5642.2</v>
      </c>
      <c r="F320" s="6">
        <v>5642.2</v>
      </c>
    </row>
    <row r="321" spans="1:6" x14ac:dyDescent="0.25">
      <c r="A321" t="str">
        <f>"057299"</f>
        <v>057299</v>
      </c>
      <c r="B321" t="s">
        <v>227</v>
      </c>
      <c r="C321">
        <v>435</v>
      </c>
      <c r="D321" s="6">
        <v>185936.06</v>
      </c>
      <c r="E321" s="6">
        <v>61358.9</v>
      </c>
      <c r="F321" s="6">
        <v>61358.9</v>
      </c>
    </row>
    <row r="322" spans="1:6" x14ac:dyDescent="0.25">
      <c r="A322" t="str">
        <f>"057307"</f>
        <v>057307</v>
      </c>
      <c r="B322" t="s">
        <v>232</v>
      </c>
      <c r="C322">
        <v>102</v>
      </c>
      <c r="D322" s="6">
        <v>43598.8</v>
      </c>
      <c r="E322" s="6">
        <v>14387.6</v>
      </c>
      <c r="F322" s="6">
        <v>14387.609999999999</v>
      </c>
    </row>
    <row r="323" spans="1:6" x14ac:dyDescent="0.25">
      <c r="A323" t="str">
        <f>"057356"</f>
        <v>057356</v>
      </c>
      <c r="B323" t="s">
        <v>277</v>
      </c>
      <c r="C323">
        <v>220</v>
      </c>
      <c r="D323" s="6">
        <v>94036.63</v>
      </c>
      <c r="E323" s="6">
        <v>31032.09</v>
      </c>
      <c r="F323" s="6">
        <v>31032.09</v>
      </c>
    </row>
    <row r="324" spans="1:6" x14ac:dyDescent="0.25">
      <c r="A324" t="str">
        <f>"057406"</f>
        <v>057406</v>
      </c>
      <c r="B324" t="s">
        <v>237</v>
      </c>
      <c r="C324">
        <v>297</v>
      </c>
      <c r="D324" s="6">
        <v>126949.45</v>
      </c>
      <c r="E324" s="6">
        <v>41893.32</v>
      </c>
      <c r="F324" s="6">
        <v>41893.32</v>
      </c>
    </row>
    <row r="325" spans="1:6" x14ac:dyDescent="0.25">
      <c r="A325" t="str">
        <f>"057422"</f>
        <v>057422</v>
      </c>
      <c r="B325" t="s">
        <v>216</v>
      </c>
      <c r="C325">
        <v>545</v>
      </c>
      <c r="D325" s="6">
        <v>232954.37</v>
      </c>
      <c r="E325" s="6">
        <v>76874.94</v>
      </c>
      <c r="F325" s="6">
        <v>76874.94</v>
      </c>
    </row>
    <row r="326" spans="1:6" x14ac:dyDescent="0.25">
      <c r="A326" t="str">
        <f>"057430"</f>
        <v>057430</v>
      </c>
      <c r="B326" t="s">
        <v>296</v>
      </c>
      <c r="C326">
        <v>329</v>
      </c>
      <c r="D326" s="6">
        <v>140627.5</v>
      </c>
      <c r="E326" s="6">
        <v>46407.08</v>
      </c>
      <c r="F326" s="6">
        <v>46407.069999999992</v>
      </c>
    </row>
    <row r="327" spans="1:6" x14ac:dyDescent="0.25">
      <c r="A327" t="str">
        <f>"057448"</f>
        <v>057448</v>
      </c>
      <c r="B327" t="s">
        <v>219</v>
      </c>
      <c r="C327">
        <v>181</v>
      </c>
      <c r="D327" s="6">
        <v>77366.5</v>
      </c>
      <c r="E327" s="6">
        <v>25530.95</v>
      </c>
      <c r="F327" s="6">
        <v>25530.94</v>
      </c>
    </row>
    <row r="328" spans="1:6" x14ac:dyDescent="0.25">
      <c r="A328" t="str">
        <f>"057455"</f>
        <v>057455</v>
      </c>
      <c r="B328" t="s">
        <v>297</v>
      </c>
      <c r="C328">
        <v>393</v>
      </c>
      <c r="D328" s="6">
        <v>167983.61</v>
      </c>
      <c r="E328" s="6">
        <v>55434.59</v>
      </c>
      <c r="F328" s="6">
        <v>55434.59</v>
      </c>
    </row>
    <row r="329" spans="1:6" x14ac:dyDescent="0.25">
      <c r="A329" t="str">
        <f>"057463"</f>
        <v>057463</v>
      </c>
      <c r="B329" t="s">
        <v>237</v>
      </c>
      <c r="C329">
        <v>188</v>
      </c>
      <c r="D329" s="6">
        <v>80358.570000000007</v>
      </c>
      <c r="E329" s="6">
        <v>26518.33</v>
      </c>
      <c r="F329" s="6">
        <v>26518.33</v>
      </c>
    </row>
    <row r="330" spans="1:6" x14ac:dyDescent="0.25">
      <c r="A330" t="str">
        <f>"057513"</f>
        <v>057513</v>
      </c>
      <c r="B330" t="s">
        <v>181</v>
      </c>
      <c r="C330">
        <v>341</v>
      </c>
      <c r="D330" s="6">
        <v>145756.76999999999</v>
      </c>
      <c r="E330" s="6">
        <v>48099.73</v>
      </c>
      <c r="F330" s="6">
        <v>48099.74</v>
      </c>
    </row>
    <row r="331" spans="1:6" x14ac:dyDescent="0.25">
      <c r="A331" t="str">
        <f>"057521"</f>
        <v>057521</v>
      </c>
      <c r="B331" t="s">
        <v>298</v>
      </c>
      <c r="C331">
        <v>263</v>
      </c>
      <c r="D331" s="6">
        <v>112416.51</v>
      </c>
      <c r="E331" s="6">
        <v>37097.449999999997</v>
      </c>
      <c r="F331" s="6">
        <v>37097.449999999997</v>
      </c>
    </row>
    <row r="332" spans="1:6" x14ac:dyDescent="0.25">
      <c r="A332" t="str">
        <f>"057539"</f>
        <v>057539</v>
      </c>
      <c r="B332" t="s">
        <v>299</v>
      </c>
      <c r="C332">
        <v>367</v>
      </c>
      <c r="D332" s="6">
        <v>156870.19</v>
      </c>
      <c r="E332" s="6">
        <v>51767.16</v>
      </c>
      <c r="F332" s="6">
        <v>51767.17</v>
      </c>
    </row>
    <row r="333" spans="1:6" x14ac:dyDescent="0.25">
      <c r="A333" t="str">
        <f>"057562"</f>
        <v>057562</v>
      </c>
      <c r="B333" t="s">
        <v>291</v>
      </c>
      <c r="C333">
        <v>95</v>
      </c>
      <c r="D333" s="6">
        <v>40606.730000000003</v>
      </c>
      <c r="E333" s="6">
        <v>13400.22</v>
      </c>
      <c r="F333" s="6">
        <v>13400.22</v>
      </c>
    </row>
    <row r="334" spans="1:6" x14ac:dyDescent="0.25">
      <c r="A334" t="str">
        <f>"057570"</f>
        <v>057570</v>
      </c>
      <c r="B334" t="s">
        <v>300</v>
      </c>
      <c r="C334">
        <v>150</v>
      </c>
      <c r="D334" s="6">
        <v>64115.88</v>
      </c>
      <c r="E334" s="6">
        <v>21158.240000000002</v>
      </c>
      <c r="F334" s="6">
        <v>21158.240000000002</v>
      </c>
    </row>
    <row r="335" spans="1:6" x14ac:dyDescent="0.25">
      <c r="A335" t="str">
        <f>"057588"</f>
        <v>057588</v>
      </c>
      <c r="B335" t="s">
        <v>301</v>
      </c>
      <c r="C335">
        <v>325</v>
      </c>
      <c r="D335" s="6">
        <v>138917.75</v>
      </c>
      <c r="E335" s="6">
        <v>45842.86</v>
      </c>
      <c r="F335" s="6">
        <v>45842.86</v>
      </c>
    </row>
    <row r="336" spans="1:6" x14ac:dyDescent="0.25">
      <c r="A336" t="str">
        <f>"057646"</f>
        <v>057646</v>
      </c>
      <c r="B336" t="s">
        <v>302</v>
      </c>
      <c r="C336">
        <v>264</v>
      </c>
      <c r="D336" s="6">
        <v>112843.95</v>
      </c>
      <c r="E336" s="6">
        <v>37238.5</v>
      </c>
      <c r="F336" s="6">
        <v>37238.509999999995</v>
      </c>
    </row>
    <row r="337" spans="1:6" x14ac:dyDescent="0.25">
      <c r="A337" t="str">
        <f>"057653"</f>
        <v>057653</v>
      </c>
      <c r="B337" t="s">
        <v>290</v>
      </c>
      <c r="C337">
        <v>117</v>
      </c>
      <c r="D337" s="6">
        <v>50010.39</v>
      </c>
      <c r="E337" s="6">
        <v>16503.43</v>
      </c>
      <c r="F337" s="6">
        <v>16503.43</v>
      </c>
    </row>
    <row r="338" spans="1:6" x14ac:dyDescent="0.25">
      <c r="A338" t="str">
        <f>"057661"</f>
        <v>057661</v>
      </c>
      <c r="B338" t="s">
        <v>183</v>
      </c>
      <c r="C338">
        <v>370</v>
      </c>
      <c r="D338" s="6">
        <v>158152.51</v>
      </c>
      <c r="E338" s="6">
        <v>52190.33</v>
      </c>
      <c r="F338" s="6">
        <v>52190.33</v>
      </c>
    </row>
    <row r="339" spans="1:6" x14ac:dyDescent="0.25">
      <c r="A339" t="str">
        <f>"057679"</f>
        <v>057679</v>
      </c>
      <c r="B339" t="s">
        <v>183</v>
      </c>
      <c r="C339">
        <v>69</v>
      </c>
      <c r="D339" s="6">
        <v>29493.31</v>
      </c>
      <c r="E339" s="6">
        <v>9732.7900000000009</v>
      </c>
      <c r="F339" s="6">
        <v>9732.7900000000009</v>
      </c>
    </row>
    <row r="340" spans="1:6" x14ac:dyDescent="0.25">
      <c r="A340" t="str">
        <f>"057687"</f>
        <v>057687</v>
      </c>
      <c r="B340" t="s">
        <v>303</v>
      </c>
      <c r="C340">
        <v>213</v>
      </c>
      <c r="D340" s="6">
        <v>91044.55</v>
      </c>
      <c r="E340" s="6">
        <v>30044.7</v>
      </c>
      <c r="F340" s="6">
        <v>30044.7</v>
      </c>
    </row>
    <row r="341" spans="1:6" x14ac:dyDescent="0.25">
      <c r="A341" t="str">
        <f>"057695"</f>
        <v>057695</v>
      </c>
      <c r="B341" t="s">
        <v>304</v>
      </c>
      <c r="C341">
        <v>314</v>
      </c>
      <c r="D341" s="6">
        <v>134215.91</v>
      </c>
      <c r="E341" s="6">
        <v>44291.25</v>
      </c>
      <c r="F341" s="6">
        <v>44291.25</v>
      </c>
    </row>
    <row r="342" spans="1:6" x14ac:dyDescent="0.25">
      <c r="A342" t="str">
        <f>"057729"</f>
        <v>057729</v>
      </c>
      <c r="B342" t="s">
        <v>194</v>
      </c>
      <c r="C342">
        <v>51</v>
      </c>
      <c r="D342" s="6">
        <v>21799.4</v>
      </c>
      <c r="E342" s="6">
        <v>7193.8</v>
      </c>
      <c r="F342" s="6">
        <v>7193.8</v>
      </c>
    </row>
    <row r="343" spans="1:6" x14ac:dyDescent="0.25">
      <c r="A343" t="str">
        <f>"057745"</f>
        <v>057745</v>
      </c>
      <c r="B343" t="s">
        <v>305</v>
      </c>
      <c r="C343">
        <v>198</v>
      </c>
      <c r="D343" s="6">
        <v>84632.97</v>
      </c>
      <c r="E343" s="6">
        <v>27928.880000000001</v>
      </c>
      <c r="F343" s="6">
        <v>27928.880000000001</v>
      </c>
    </row>
    <row r="344" spans="1:6" x14ac:dyDescent="0.25">
      <c r="A344" t="str">
        <f>"057778"</f>
        <v>057778</v>
      </c>
      <c r="B344" t="s">
        <v>306</v>
      </c>
      <c r="C344">
        <v>433</v>
      </c>
      <c r="D344" s="6">
        <v>185081.18</v>
      </c>
      <c r="E344" s="6">
        <v>61076.79</v>
      </c>
      <c r="F344" s="6">
        <v>61076.79</v>
      </c>
    </row>
    <row r="345" spans="1:6" x14ac:dyDescent="0.25">
      <c r="A345" t="str">
        <f>"057786"</f>
        <v>057786</v>
      </c>
      <c r="B345" t="s">
        <v>200</v>
      </c>
      <c r="C345">
        <v>167</v>
      </c>
      <c r="D345" s="6">
        <v>71382.350000000006</v>
      </c>
      <c r="E345" s="6">
        <v>23556.18</v>
      </c>
      <c r="F345" s="6">
        <v>23556.17</v>
      </c>
    </row>
    <row r="346" spans="1:6" x14ac:dyDescent="0.25">
      <c r="A346" t="str">
        <f>"057810"</f>
        <v>057810</v>
      </c>
      <c r="B346" t="s">
        <v>203</v>
      </c>
      <c r="C346">
        <v>74</v>
      </c>
      <c r="D346" s="6">
        <v>31630.5</v>
      </c>
      <c r="E346" s="6">
        <v>10438.07</v>
      </c>
      <c r="F346" s="6">
        <v>10438.060000000001</v>
      </c>
    </row>
    <row r="347" spans="1:6" x14ac:dyDescent="0.25">
      <c r="A347" t="str">
        <f>"057836"</f>
        <v>057836</v>
      </c>
      <c r="B347" t="s">
        <v>275</v>
      </c>
      <c r="C347">
        <v>464</v>
      </c>
      <c r="D347" s="6">
        <v>198331.8</v>
      </c>
      <c r="E347" s="6">
        <v>65449.49</v>
      </c>
      <c r="F347" s="6">
        <v>65449.500000000007</v>
      </c>
    </row>
    <row r="348" spans="1:6" x14ac:dyDescent="0.25">
      <c r="A348" t="str">
        <f>"057844"</f>
        <v>057844</v>
      </c>
      <c r="B348" t="s">
        <v>307</v>
      </c>
      <c r="C348">
        <v>247</v>
      </c>
      <c r="D348" s="6">
        <v>105577.49</v>
      </c>
      <c r="E348" s="6">
        <v>34840.57</v>
      </c>
      <c r="F348" s="6">
        <v>34840.57</v>
      </c>
    </row>
    <row r="349" spans="1:6" x14ac:dyDescent="0.25">
      <c r="A349" t="str">
        <f>"057851"</f>
        <v>057851</v>
      </c>
      <c r="B349" t="s">
        <v>208</v>
      </c>
      <c r="C349">
        <v>215</v>
      </c>
      <c r="D349" s="6">
        <v>91899.43</v>
      </c>
      <c r="E349" s="6">
        <v>30326.81</v>
      </c>
      <c r="F349" s="6">
        <v>30326.81</v>
      </c>
    </row>
    <row r="350" spans="1:6" x14ac:dyDescent="0.25">
      <c r="A350" t="str">
        <f>"057869"</f>
        <v>057869</v>
      </c>
      <c r="B350" t="s">
        <v>124</v>
      </c>
      <c r="C350">
        <v>162</v>
      </c>
      <c r="D350" s="6">
        <v>69245.149999999994</v>
      </c>
      <c r="E350" s="6">
        <v>22850.9</v>
      </c>
      <c r="F350" s="6">
        <v>22850.9</v>
      </c>
    </row>
    <row r="351" spans="1:6" x14ac:dyDescent="0.25">
      <c r="A351" t="str">
        <f>"057885"</f>
        <v>057885</v>
      </c>
      <c r="B351" t="s">
        <v>140</v>
      </c>
      <c r="C351">
        <v>261</v>
      </c>
      <c r="D351" s="6">
        <v>111561.64</v>
      </c>
      <c r="E351" s="6">
        <v>36815.339999999997</v>
      </c>
      <c r="F351" s="6">
        <v>36815.339999999997</v>
      </c>
    </row>
    <row r="352" spans="1:6" x14ac:dyDescent="0.25">
      <c r="A352" t="str">
        <f>"057901"</f>
        <v>057901</v>
      </c>
      <c r="B352" t="s">
        <v>308</v>
      </c>
      <c r="C352">
        <v>484</v>
      </c>
      <c r="D352" s="6">
        <v>206880.58</v>
      </c>
      <c r="E352" s="6">
        <v>68270.59</v>
      </c>
      <c r="F352" s="6">
        <v>68270.59</v>
      </c>
    </row>
    <row r="353" spans="1:6" x14ac:dyDescent="0.25">
      <c r="A353" t="str">
        <f>"057919"</f>
        <v>057919</v>
      </c>
      <c r="B353" t="s">
        <v>309</v>
      </c>
      <c r="C353">
        <v>59</v>
      </c>
      <c r="D353" s="6">
        <v>25218.91</v>
      </c>
      <c r="E353" s="6">
        <v>8322.24</v>
      </c>
      <c r="F353" s="6">
        <v>8322.24</v>
      </c>
    </row>
    <row r="354" spans="1:6" x14ac:dyDescent="0.25">
      <c r="A354" t="str">
        <f>"057943"</f>
        <v>057943</v>
      </c>
      <c r="B354" t="s">
        <v>310</v>
      </c>
      <c r="C354">
        <v>140</v>
      </c>
      <c r="D354" s="6">
        <v>59841.49</v>
      </c>
      <c r="E354" s="6">
        <v>19747.689999999999</v>
      </c>
      <c r="F354" s="6">
        <v>19747.689999999999</v>
      </c>
    </row>
    <row r="355" spans="1:6" x14ac:dyDescent="0.25">
      <c r="A355" t="str">
        <f>"057950"</f>
        <v>057950</v>
      </c>
      <c r="B355" t="s">
        <v>311</v>
      </c>
      <c r="C355">
        <v>159</v>
      </c>
      <c r="D355" s="6">
        <v>67962.84</v>
      </c>
      <c r="E355" s="6">
        <v>22427.74</v>
      </c>
      <c r="F355" s="6">
        <v>22427.73</v>
      </c>
    </row>
    <row r="356" spans="1:6" x14ac:dyDescent="0.25">
      <c r="A356" t="str">
        <f>"057992"</f>
        <v>057992</v>
      </c>
      <c r="B356" t="s">
        <v>312</v>
      </c>
      <c r="C356">
        <v>178</v>
      </c>
      <c r="D356" s="6">
        <v>76084.179999999993</v>
      </c>
      <c r="E356" s="6">
        <v>25107.78</v>
      </c>
      <c r="F356" s="6">
        <v>25107.78</v>
      </c>
    </row>
    <row r="357" spans="1:6" x14ac:dyDescent="0.25">
      <c r="A357" t="str">
        <f>"058008"</f>
        <v>058008</v>
      </c>
      <c r="B357" t="s">
        <v>232</v>
      </c>
      <c r="C357">
        <v>284</v>
      </c>
      <c r="D357" s="6">
        <v>121392.74</v>
      </c>
      <c r="E357" s="6">
        <v>40059.599999999999</v>
      </c>
      <c r="F357" s="6">
        <v>40059.610000000008</v>
      </c>
    </row>
    <row r="358" spans="1:6" x14ac:dyDescent="0.25">
      <c r="A358" t="str">
        <f>"058016"</f>
        <v>058016</v>
      </c>
      <c r="B358" t="s">
        <v>232</v>
      </c>
      <c r="C358">
        <v>340</v>
      </c>
      <c r="D358" s="6">
        <v>145329.32999999999</v>
      </c>
      <c r="E358" s="6">
        <v>47958.68</v>
      </c>
      <c r="F358" s="6">
        <v>47958.68</v>
      </c>
    </row>
    <row r="359" spans="1:6" x14ac:dyDescent="0.25">
      <c r="A359" t="str">
        <f>"058024"</f>
        <v>058024</v>
      </c>
      <c r="B359" t="s">
        <v>232</v>
      </c>
      <c r="C359">
        <v>219</v>
      </c>
      <c r="D359" s="6">
        <v>93609.19</v>
      </c>
      <c r="E359" s="6">
        <v>30891.03</v>
      </c>
      <c r="F359" s="6">
        <v>30891.040000000001</v>
      </c>
    </row>
    <row r="360" spans="1:6" x14ac:dyDescent="0.25">
      <c r="A360" t="str">
        <f>"058032"</f>
        <v>058032</v>
      </c>
      <c r="B360" t="s">
        <v>232</v>
      </c>
      <c r="C360">
        <v>106</v>
      </c>
      <c r="D360" s="6">
        <v>45308.56</v>
      </c>
      <c r="E360" s="6">
        <v>14951.82</v>
      </c>
      <c r="F360" s="6">
        <v>14951.830000000002</v>
      </c>
    </row>
    <row r="361" spans="1:6" x14ac:dyDescent="0.25">
      <c r="A361" t="str">
        <f>"058040"</f>
        <v>058040</v>
      </c>
      <c r="B361" t="s">
        <v>313</v>
      </c>
      <c r="C361">
        <v>155</v>
      </c>
      <c r="D361" s="6">
        <v>48196.78</v>
      </c>
      <c r="E361" s="6">
        <v>15904.94</v>
      </c>
      <c r="F361" s="6">
        <v>15904.929999999998</v>
      </c>
    </row>
    <row r="362" spans="1:6" x14ac:dyDescent="0.25">
      <c r="A362" t="str">
        <f>"058057"</f>
        <v>058057</v>
      </c>
      <c r="B362" t="s">
        <v>314</v>
      </c>
      <c r="C362">
        <v>243</v>
      </c>
      <c r="D362" s="6">
        <v>103867.73</v>
      </c>
      <c r="E362" s="6">
        <v>34276.35</v>
      </c>
      <c r="F362" s="6">
        <v>34276.35</v>
      </c>
    </row>
    <row r="363" spans="1:6" x14ac:dyDescent="0.25">
      <c r="A363" t="str">
        <f>"058065"</f>
        <v>058065</v>
      </c>
      <c r="B363" t="s">
        <v>315</v>
      </c>
      <c r="C363">
        <v>571</v>
      </c>
      <c r="D363" s="6">
        <v>244067.79</v>
      </c>
      <c r="E363" s="6">
        <v>80542.37</v>
      </c>
      <c r="F363" s="6">
        <v>80542.37</v>
      </c>
    </row>
    <row r="364" spans="1:6" x14ac:dyDescent="0.25">
      <c r="A364" t="str">
        <f>"058073"</f>
        <v>058073</v>
      </c>
      <c r="B364" t="s">
        <v>316</v>
      </c>
      <c r="C364">
        <v>274</v>
      </c>
      <c r="D364" s="6">
        <v>117118.35</v>
      </c>
      <c r="E364" s="6">
        <v>38649.06</v>
      </c>
      <c r="F364" s="6">
        <v>38649.050000000003</v>
      </c>
    </row>
    <row r="365" spans="1:6" x14ac:dyDescent="0.25">
      <c r="A365" t="str">
        <f>"058081"</f>
        <v>058081</v>
      </c>
      <c r="B365" t="s">
        <v>235</v>
      </c>
      <c r="C365">
        <v>374</v>
      </c>
      <c r="D365" s="6">
        <v>159862.26999999999</v>
      </c>
      <c r="E365" s="6">
        <v>52754.55</v>
      </c>
      <c r="F365" s="6">
        <v>52754.55</v>
      </c>
    </row>
    <row r="366" spans="1:6" x14ac:dyDescent="0.25">
      <c r="A366" t="str">
        <f>"058099"</f>
        <v>058099</v>
      </c>
      <c r="B366" t="s">
        <v>317</v>
      </c>
      <c r="C366">
        <v>235</v>
      </c>
      <c r="D366" s="6">
        <v>100448.22</v>
      </c>
      <c r="E366" s="6">
        <v>33147.910000000003</v>
      </c>
      <c r="F366" s="6">
        <v>33147.919999999998</v>
      </c>
    </row>
    <row r="367" spans="1:6" x14ac:dyDescent="0.25">
      <c r="A367" t="str">
        <f>"058107"</f>
        <v>058107</v>
      </c>
      <c r="B367" t="s">
        <v>236</v>
      </c>
      <c r="C367">
        <v>135</v>
      </c>
      <c r="D367" s="6">
        <v>57704.29</v>
      </c>
      <c r="E367" s="6">
        <v>19042.419999999998</v>
      </c>
      <c r="F367" s="6">
        <v>19042.410000000003</v>
      </c>
    </row>
    <row r="368" spans="1:6" x14ac:dyDescent="0.25">
      <c r="A368" t="str">
        <f>"058115"</f>
        <v>058115</v>
      </c>
      <c r="B368" t="s">
        <v>318</v>
      </c>
      <c r="C368">
        <v>771</v>
      </c>
      <c r="D368" s="6">
        <v>329555.64</v>
      </c>
      <c r="E368" s="6">
        <v>108753.36</v>
      </c>
      <c r="F368" s="6">
        <v>108753.36</v>
      </c>
    </row>
    <row r="369" spans="1:6" x14ac:dyDescent="0.25">
      <c r="A369" t="str">
        <f>"058131"</f>
        <v>058131</v>
      </c>
      <c r="B369" t="s">
        <v>295</v>
      </c>
      <c r="C369">
        <v>102</v>
      </c>
      <c r="D369" s="6">
        <v>43598.8</v>
      </c>
      <c r="E369" s="6">
        <v>14387.6</v>
      </c>
      <c r="F369" s="6">
        <v>14387.609999999999</v>
      </c>
    </row>
    <row r="370" spans="1:6" x14ac:dyDescent="0.25">
      <c r="A370" t="str">
        <f>"058156"</f>
        <v>058156</v>
      </c>
      <c r="B370" t="s">
        <v>319</v>
      </c>
      <c r="C370">
        <v>513</v>
      </c>
      <c r="D370" s="6">
        <v>219276.32</v>
      </c>
      <c r="E370" s="6">
        <v>72361.19</v>
      </c>
      <c r="F370" s="6">
        <v>72361.179999999993</v>
      </c>
    </row>
    <row r="371" spans="1:6" x14ac:dyDescent="0.25">
      <c r="A371" t="str">
        <f>"058164"</f>
        <v>058164</v>
      </c>
      <c r="B371" t="s">
        <v>320</v>
      </c>
      <c r="C371">
        <v>79</v>
      </c>
      <c r="D371" s="6">
        <v>33767.699999999997</v>
      </c>
      <c r="E371" s="6">
        <v>11143.34</v>
      </c>
      <c r="F371" s="6">
        <v>11143.34</v>
      </c>
    </row>
    <row r="372" spans="1:6" x14ac:dyDescent="0.25">
      <c r="A372" t="str">
        <f>"058206"</f>
        <v>058206</v>
      </c>
      <c r="B372" t="s">
        <v>321</v>
      </c>
      <c r="C372">
        <v>245</v>
      </c>
      <c r="D372" s="6">
        <v>104722.61</v>
      </c>
      <c r="E372" s="6">
        <v>34558.46</v>
      </c>
      <c r="F372" s="6">
        <v>34558.46</v>
      </c>
    </row>
    <row r="373" spans="1:6" x14ac:dyDescent="0.25">
      <c r="A373" t="str">
        <f>"058214"</f>
        <v>058214</v>
      </c>
      <c r="B373" t="s">
        <v>289</v>
      </c>
      <c r="C373">
        <v>159</v>
      </c>
      <c r="D373" s="6">
        <v>67962.84</v>
      </c>
      <c r="E373" s="6">
        <v>22427.74</v>
      </c>
      <c r="F373" s="6">
        <v>22427.73</v>
      </c>
    </row>
    <row r="374" spans="1:6" x14ac:dyDescent="0.25">
      <c r="A374" t="str">
        <f>"058255"</f>
        <v>058255</v>
      </c>
      <c r="B374" t="s">
        <v>322</v>
      </c>
      <c r="C374">
        <v>88</v>
      </c>
      <c r="D374" s="6">
        <v>37614.65</v>
      </c>
      <c r="E374" s="6">
        <v>12412.83</v>
      </c>
      <c r="F374" s="6">
        <v>12412.839999999998</v>
      </c>
    </row>
    <row r="375" spans="1:6" x14ac:dyDescent="0.25">
      <c r="A375" t="str">
        <f>"058305"</f>
        <v>058305</v>
      </c>
      <c r="B375" t="s">
        <v>323</v>
      </c>
      <c r="C375">
        <v>306</v>
      </c>
      <c r="D375" s="6">
        <v>130796.4</v>
      </c>
      <c r="E375" s="6">
        <v>43162.81</v>
      </c>
      <c r="F375" s="6">
        <v>43162.81</v>
      </c>
    </row>
    <row r="376" spans="1:6" x14ac:dyDescent="0.25">
      <c r="A376" t="str">
        <f>"058321"</f>
        <v>058321</v>
      </c>
      <c r="B376" t="s">
        <v>309</v>
      </c>
      <c r="C376">
        <v>63</v>
      </c>
      <c r="D376" s="6">
        <v>26928.67</v>
      </c>
      <c r="E376" s="6">
        <v>8886.4599999999991</v>
      </c>
      <c r="F376" s="6">
        <v>8886.4599999999991</v>
      </c>
    </row>
    <row r="377" spans="1:6" x14ac:dyDescent="0.25">
      <c r="A377" t="str">
        <f>"058339"</f>
        <v>058339</v>
      </c>
      <c r="B377" t="s">
        <v>309</v>
      </c>
      <c r="C377">
        <v>86</v>
      </c>
      <c r="D377" s="6">
        <v>36759.769999999997</v>
      </c>
      <c r="E377" s="6">
        <v>12130.72</v>
      </c>
      <c r="F377" s="6">
        <v>12130.730000000001</v>
      </c>
    </row>
    <row r="378" spans="1:6" x14ac:dyDescent="0.25">
      <c r="A378" t="str">
        <f>"058370"</f>
        <v>058370</v>
      </c>
      <c r="B378" t="s">
        <v>228</v>
      </c>
      <c r="C378">
        <v>97</v>
      </c>
      <c r="D378" s="6">
        <v>41461.599999999999</v>
      </c>
      <c r="E378" s="6">
        <v>13682.33</v>
      </c>
      <c r="F378" s="6">
        <v>13682.33</v>
      </c>
    </row>
    <row r="379" spans="1:6" x14ac:dyDescent="0.25">
      <c r="A379" t="str">
        <f>"058388"</f>
        <v>058388</v>
      </c>
      <c r="B379" t="s">
        <v>232</v>
      </c>
      <c r="C379">
        <v>127</v>
      </c>
      <c r="D379" s="6">
        <v>54284.78</v>
      </c>
      <c r="E379" s="6">
        <v>17913.98</v>
      </c>
      <c r="F379" s="6">
        <v>17913.969999999998</v>
      </c>
    </row>
    <row r="380" spans="1:6" x14ac:dyDescent="0.25">
      <c r="A380" t="str">
        <f>"058396"</f>
        <v>058396</v>
      </c>
      <c r="B380" t="s">
        <v>324</v>
      </c>
      <c r="C380">
        <v>87</v>
      </c>
      <c r="D380" s="6">
        <v>37187.21</v>
      </c>
      <c r="E380" s="6">
        <v>12271.78</v>
      </c>
      <c r="F380" s="6">
        <v>12271.78</v>
      </c>
    </row>
    <row r="381" spans="1:6" x14ac:dyDescent="0.25">
      <c r="A381" t="str">
        <f>"058404"</f>
        <v>058404</v>
      </c>
      <c r="B381" t="s">
        <v>232</v>
      </c>
      <c r="C381">
        <v>131</v>
      </c>
      <c r="D381" s="6">
        <v>55994.54</v>
      </c>
      <c r="E381" s="6">
        <v>18478.2</v>
      </c>
      <c r="F381" s="6">
        <v>18478.2</v>
      </c>
    </row>
    <row r="382" spans="1:6" x14ac:dyDescent="0.25">
      <c r="A382" t="str">
        <f>"058479"</f>
        <v>058479</v>
      </c>
      <c r="B382" t="s">
        <v>325</v>
      </c>
      <c r="C382">
        <v>83</v>
      </c>
      <c r="D382" s="6">
        <v>35477.46</v>
      </c>
      <c r="E382" s="6">
        <v>11707.56</v>
      </c>
      <c r="F382" s="6">
        <v>11707.56</v>
      </c>
    </row>
    <row r="383" spans="1:6" x14ac:dyDescent="0.25">
      <c r="A383" t="str">
        <f>"058487"</f>
        <v>058487</v>
      </c>
      <c r="B383" t="s">
        <v>300</v>
      </c>
      <c r="C383">
        <v>209</v>
      </c>
      <c r="D383" s="6">
        <v>89334.8</v>
      </c>
      <c r="E383" s="6">
        <v>29480.48</v>
      </c>
      <c r="F383" s="6">
        <v>29480.49</v>
      </c>
    </row>
    <row r="384" spans="1:6" x14ac:dyDescent="0.25">
      <c r="A384" t="str">
        <f>"058495"</f>
        <v>058495</v>
      </c>
      <c r="B384" t="s">
        <v>326</v>
      </c>
      <c r="C384">
        <v>361</v>
      </c>
      <c r="D384" s="6">
        <v>154305.56</v>
      </c>
      <c r="E384" s="6">
        <v>50920.83</v>
      </c>
      <c r="F384" s="6">
        <v>50920.84</v>
      </c>
    </row>
    <row r="385" spans="1:6" x14ac:dyDescent="0.25">
      <c r="A385" t="str">
        <f>"058503"</f>
        <v>058503</v>
      </c>
      <c r="B385" t="s">
        <v>327</v>
      </c>
      <c r="C385">
        <v>359</v>
      </c>
      <c r="D385" s="6">
        <v>153450.68</v>
      </c>
      <c r="E385" s="6">
        <v>50638.720000000001</v>
      </c>
      <c r="F385" s="6">
        <v>50638.729999999996</v>
      </c>
    </row>
    <row r="386" spans="1:6" x14ac:dyDescent="0.25">
      <c r="A386" t="str">
        <f>"058552"</f>
        <v>058552</v>
      </c>
      <c r="B386" t="s">
        <v>183</v>
      </c>
      <c r="C386">
        <v>128</v>
      </c>
      <c r="D386" s="6">
        <v>54712.22</v>
      </c>
      <c r="E386" s="6">
        <v>18055.03</v>
      </c>
      <c r="F386" s="6">
        <v>18055.04</v>
      </c>
    </row>
    <row r="387" spans="1:6" x14ac:dyDescent="0.25">
      <c r="A387" t="str">
        <f>"058560"</f>
        <v>058560</v>
      </c>
      <c r="B387" t="s">
        <v>183</v>
      </c>
      <c r="C387">
        <v>76</v>
      </c>
      <c r="D387" s="6">
        <v>32485.38</v>
      </c>
      <c r="E387" s="6">
        <v>10720.18</v>
      </c>
      <c r="F387" s="6">
        <v>10720.169999999998</v>
      </c>
    </row>
    <row r="388" spans="1:6" x14ac:dyDescent="0.25">
      <c r="A388" t="str">
        <f>"058602"</f>
        <v>058602</v>
      </c>
      <c r="B388" t="s">
        <v>269</v>
      </c>
      <c r="C388">
        <v>195</v>
      </c>
      <c r="D388" s="6">
        <v>83350.649999999994</v>
      </c>
      <c r="E388" s="6">
        <v>27505.71</v>
      </c>
      <c r="F388" s="6">
        <v>27505.72</v>
      </c>
    </row>
    <row r="389" spans="1:6" x14ac:dyDescent="0.25">
      <c r="A389" t="str">
        <f>"058628"</f>
        <v>058628</v>
      </c>
      <c r="B389" t="s">
        <v>232</v>
      </c>
      <c r="C389">
        <v>83</v>
      </c>
      <c r="D389" s="6">
        <v>35477.46</v>
      </c>
      <c r="E389" s="6">
        <v>11707.56</v>
      </c>
      <c r="F389" s="6">
        <v>11707.56</v>
      </c>
    </row>
    <row r="390" spans="1:6" x14ac:dyDescent="0.25">
      <c r="A390" t="str">
        <f>"058651"</f>
        <v>058651</v>
      </c>
      <c r="B390" t="s">
        <v>328</v>
      </c>
      <c r="C390">
        <v>166</v>
      </c>
      <c r="D390" s="6">
        <v>70954.91</v>
      </c>
      <c r="E390" s="6">
        <v>23415.119999999999</v>
      </c>
      <c r="F390" s="6">
        <v>23415.119999999999</v>
      </c>
    </row>
    <row r="391" spans="1:6" x14ac:dyDescent="0.25">
      <c r="A391" t="str">
        <f>"058677"</f>
        <v>058677</v>
      </c>
      <c r="B391" t="s">
        <v>304</v>
      </c>
      <c r="C391">
        <v>227</v>
      </c>
      <c r="D391" s="6">
        <v>94035.61</v>
      </c>
      <c r="E391" s="6">
        <v>31031.75</v>
      </c>
      <c r="F391" s="6">
        <v>31031.75</v>
      </c>
    </row>
    <row r="392" spans="1:6" x14ac:dyDescent="0.25">
      <c r="A392" t="str">
        <f>"058685"</f>
        <v>058685</v>
      </c>
      <c r="B392" t="s">
        <v>329</v>
      </c>
      <c r="C392">
        <v>177</v>
      </c>
      <c r="D392" s="6">
        <v>75656.740000000005</v>
      </c>
      <c r="E392" s="6">
        <v>24966.720000000001</v>
      </c>
      <c r="F392" s="6">
        <v>24966.729999999996</v>
      </c>
    </row>
    <row r="393" spans="1:6" x14ac:dyDescent="0.25">
      <c r="A393" t="str">
        <f>"058693"</f>
        <v>058693</v>
      </c>
      <c r="B393" t="s">
        <v>330</v>
      </c>
      <c r="C393">
        <v>310</v>
      </c>
      <c r="D393" s="6">
        <v>132506.16</v>
      </c>
      <c r="E393" s="6">
        <v>43727.03</v>
      </c>
      <c r="F393" s="6">
        <v>43727.040000000008</v>
      </c>
    </row>
    <row r="394" spans="1:6" x14ac:dyDescent="0.25">
      <c r="A394" t="str">
        <f>"058727"</f>
        <v>058727</v>
      </c>
      <c r="B394" t="s">
        <v>194</v>
      </c>
      <c r="C394">
        <v>105</v>
      </c>
      <c r="D394" s="6">
        <v>44881.120000000003</v>
      </c>
      <c r="E394" s="6">
        <v>14810.77</v>
      </c>
      <c r="F394" s="6">
        <v>14810.77</v>
      </c>
    </row>
    <row r="395" spans="1:6" x14ac:dyDescent="0.25">
      <c r="A395" t="str">
        <f>"058768"</f>
        <v>058768</v>
      </c>
      <c r="B395" t="s">
        <v>331</v>
      </c>
      <c r="C395">
        <v>197</v>
      </c>
      <c r="D395" s="6">
        <v>84205.53</v>
      </c>
      <c r="E395" s="6">
        <v>27787.82</v>
      </c>
      <c r="F395" s="6">
        <v>27787.83</v>
      </c>
    </row>
    <row r="396" spans="1:6" x14ac:dyDescent="0.25">
      <c r="A396" t="str">
        <f>"058826"</f>
        <v>058826</v>
      </c>
      <c r="B396" t="s">
        <v>277</v>
      </c>
      <c r="C396">
        <v>86</v>
      </c>
      <c r="D396" s="6">
        <v>36759.769999999997</v>
      </c>
      <c r="E396" s="6">
        <v>12130.72</v>
      </c>
      <c r="F396" s="6">
        <v>12130.730000000001</v>
      </c>
    </row>
    <row r="397" spans="1:6" x14ac:dyDescent="0.25">
      <c r="A397" t="str">
        <f>"058834"</f>
        <v>058834</v>
      </c>
      <c r="B397" t="s">
        <v>292</v>
      </c>
      <c r="C397">
        <v>47</v>
      </c>
      <c r="D397" s="6">
        <v>20089.64</v>
      </c>
      <c r="E397" s="6">
        <v>6629.58</v>
      </c>
      <c r="F397" s="6">
        <v>6629.58</v>
      </c>
    </row>
    <row r="398" spans="1:6" x14ac:dyDescent="0.25">
      <c r="A398" t="str">
        <f>"058842"</f>
        <v>058842</v>
      </c>
      <c r="B398" t="s">
        <v>332</v>
      </c>
      <c r="C398">
        <v>36</v>
      </c>
      <c r="D398" s="6">
        <v>15387.81</v>
      </c>
      <c r="E398" s="6">
        <v>5077.9799999999996</v>
      </c>
      <c r="F398" s="6">
        <v>5077.9700000000012</v>
      </c>
    </row>
    <row r="399" spans="1:6" x14ac:dyDescent="0.25">
      <c r="A399" t="str">
        <f>"058859"</f>
        <v>058859</v>
      </c>
      <c r="B399" t="s">
        <v>205</v>
      </c>
      <c r="C399">
        <v>45</v>
      </c>
      <c r="D399" s="6">
        <v>19234.759999999998</v>
      </c>
      <c r="E399" s="6">
        <v>6347.47</v>
      </c>
      <c r="F399" s="6">
        <v>6347.47</v>
      </c>
    </row>
    <row r="400" spans="1:6" x14ac:dyDescent="0.25">
      <c r="A400" t="str">
        <f>"058875"</f>
        <v>058875</v>
      </c>
      <c r="B400" t="s">
        <v>333</v>
      </c>
      <c r="C400">
        <v>379</v>
      </c>
      <c r="D400" s="6">
        <v>161999.46</v>
      </c>
      <c r="E400" s="6">
        <v>53459.82</v>
      </c>
      <c r="F400" s="6">
        <v>53459.82</v>
      </c>
    </row>
    <row r="401" spans="1:6" x14ac:dyDescent="0.25">
      <c r="A401" t="str">
        <f>"058909"</f>
        <v>058909</v>
      </c>
      <c r="B401" t="s">
        <v>334</v>
      </c>
      <c r="C401">
        <v>156</v>
      </c>
      <c r="D401" s="6">
        <v>66680.52</v>
      </c>
      <c r="E401" s="6">
        <v>22004.57</v>
      </c>
      <c r="F401" s="6">
        <v>22004.57</v>
      </c>
    </row>
    <row r="402" spans="1:6" x14ac:dyDescent="0.25">
      <c r="A402" t="str">
        <f>"058933"</f>
        <v>058933</v>
      </c>
      <c r="B402" t="s">
        <v>335</v>
      </c>
      <c r="C402">
        <v>111</v>
      </c>
      <c r="D402" s="6">
        <v>47445.75</v>
      </c>
      <c r="E402" s="6">
        <v>15657.1</v>
      </c>
      <c r="F402" s="6">
        <v>15657.1</v>
      </c>
    </row>
    <row r="403" spans="1:6" x14ac:dyDescent="0.25">
      <c r="A403" t="str">
        <f>"058941"</f>
        <v>058941</v>
      </c>
      <c r="B403" t="s">
        <v>336</v>
      </c>
      <c r="C403">
        <v>157</v>
      </c>
      <c r="D403" s="6">
        <v>67107.960000000006</v>
      </c>
      <c r="E403" s="6">
        <v>22145.63</v>
      </c>
      <c r="F403" s="6">
        <v>22145.62</v>
      </c>
    </row>
    <row r="404" spans="1:6" x14ac:dyDescent="0.25">
      <c r="A404" t="str">
        <f>"059014"</f>
        <v>059014</v>
      </c>
      <c r="B404" t="s">
        <v>337</v>
      </c>
      <c r="C404">
        <v>74</v>
      </c>
      <c r="D404" s="6">
        <v>31630.5</v>
      </c>
      <c r="E404" s="6">
        <v>10438.07</v>
      </c>
      <c r="F404" s="6">
        <v>10438.060000000001</v>
      </c>
    </row>
    <row r="405" spans="1:6" x14ac:dyDescent="0.25">
      <c r="A405" t="str">
        <f>"059022"</f>
        <v>059022</v>
      </c>
      <c r="B405" t="s">
        <v>338</v>
      </c>
      <c r="C405">
        <v>96</v>
      </c>
      <c r="D405" s="6">
        <v>41034.17</v>
      </c>
      <c r="E405" s="6">
        <v>13541.28</v>
      </c>
      <c r="F405" s="6">
        <v>13541.269999999999</v>
      </c>
    </row>
    <row r="406" spans="1:6" x14ac:dyDescent="0.25">
      <c r="A406" t="str">
        <f>"059055"</f>
        <v>059055</v>
      </c>
      <c r="B406" t="s">
        <v>225</v>
      </c>
      <c r="C406">
        <v>31</v>
      </c>
      <c r="D406" s="6">
        <v>13250.62</v>
      </c>
      <c r="E406" s="6">
        <v>4372.7</v>
      </c>
      <c r="F406" s="6">
        <v>4372.71</v>
      </c>
    </row>
    <row r="407" spans="1:6" x14ac:dyDescent="0.25">
      <c r="A407" t="str">
        <f>"059071"</f>
        <v>059071</v>
      </c>
      <c r="B407" t="s">
        <v>225</v>
      </c>
      <c r="C407">
        <v>67</v>
      </c>
      <c r="D407" s="6">
        <v>28638.43</v>
      </c>
      <c r="E407" s="6">
        <v>9450.68</v>
      </c>
      <c r="F407" s="6">
        <v>9450.68</v>
      </c>
    </row>
    <row r="408" spans="1:6" x14ac:dyDescent="0.25">
      <c r="A408" t="str">
        <f>"059089"</f>
        <v>059089</v>
      </c>
      <c r="B408" t="s">
        <v>225</v>
      </c>
      <c r="C408">
        <v>231</v>
      </c>
      <c r="D408" s="6">
        <v>98738.46</v>
      </c>
      <c r="E408" s="6">
        <v>32583.69</v>
      </c>
      <c r="F408" s="6">
        <v>32583.69</v>
      </c>
    </row>
    <row r="409" spans="1:6" x14ac:dyDescent="0.25">
      <c r="A409" t="str">
        <f>"059097"</f>
        <v>059097</v>
      </c>
      <c r="B409" t="s">
        <v>225</v>
      </c>
      <c r="C409">
        <v>71</v>
      </c>
      <c r="D409" s="6">
        <v>30348.18</v>
      </c>
      <c r="E409" s="6">
        <v>10014.9</v>
      </c>
      <c r="F409" s="6">
        <v>10014.9</v>
      </c>
    </row>
    <row r="410" spans="1:6" x14ac:dyDescent="0.25">
      <c r="A410" t="str">
        <f>"059105"</f>
        <v>059105</v>
      </c>
      <c r="B410" t="s">
        <v>225</v>
      </c>
      <c r="C410">
        <v>401</v>
      </c>
      <c r="D410" s="6">
        <v>171403.13</v>
      </c>
      <c r="E410" s="6">
        <v>56563.03</v>
      </c>
      <c r="F410" s="6">
        <v>56563.040000000008</v>
      </c>
    </row>
    <row r="411" spans="1:6" x14ac:dyDescent="0.25">
      <c r="A411" t="str">
        <f>"059139"</f>
        <v>059139</v>
      </c>
      <c r="B411" t="s">
        <v>229</v>
      </c>
      <c r="C411">
        <v>32</v>
      </c>
      <c r="D411" s="6">
        <v>13678.06</v>
      </c>
      <c r="E411" s="6">
        <v>4513.76</v>
      </c>
      <c r="F411" s="6">
        <v>4513.76</v>
      </c>
    </row>
    <row r="412" spans="1:6" x14ac:dyDescent="0.25">
      <c r="A412" t="str">
        <f>"059170"</f>
        <v>059170</v>
      </c>
      <c r="B412" t="s">
        <v>232</v>
      </c>
      <c r="C412">
        <v>81</v>
      </c>
      <c r="D412" s="6">
        <v>34622.58</v>
      </c>
      <c r="E412" s="6">
        <v>11425.45</v>
      </c>
      <c r="F412" s="6">
        <v>11425.45</v>
      </c>
    </row>
    <row r="413" spans="1:6" x14ac:dyDescent="0.25">
      <c r="A413" t="str">
        <f>"059196"</f>
        <v>059196</v>
      </c>
      <c r="B413" t="s">
        <v>232</v>
      </c>
      <c r="C413">
        <v>84</v>
      </c>
      <c r="D413" s="6">
        <v>35904.89</v>
      </c>
      <c r="E413" s="6">
        <v>11848.61</v>
      </c>
      <c r="F413" s="6">
        <v>11848.619999999999</v>
      </c>
    </row>
    <row r="414" spans="1:6" x14ac:dyDescent="0.25">
      <c r="A414" t="str">
        <f>"059204"</f>
        <v>059204</v>
      </c>
      <c r="B414" t="s">
        <v>339</v>
      </c>
      <c r="C414">
        <v>64</v>
      </c>
      <c r="D414" s="6">
        <v>27356.11</v>
      </c>
      <c r="E414" s="6">
        <v>9027.52</v>
      </c>
      <c r="F414" s="6">
        <v>9027.5099999999984</v>
      </c>
    </row>
    <row r="415" spans="1:6" x14ac:dyDescent="0.25">
      <c r="A415" t="str">
        <f>"059246"</f>
        <v>059246</v>
      </c>
      <c r="B415" t="s">
        <v>340</v>
      </c>
      <c r="C415">
        <v>96</v>
      </c>
      <c r="D415" s="6">
        <v>41034.17</v>
      </c>
      <c r="E415" s="6">
        <v>13541.28</v>
      </c>
      <c r="F415" s="6">
        <v>13541.269999999999</v>
      </c>
    </row>
    <row r="416" spans="1:6" x14ac:dyDescent="0.25">
      <c r="A416" t="str">
        <f>"059279"</f>
        <v>059279</v>
      </c>
      <c r="B416" t="s">
        <v>232</v>
      </c>
      <c r="C416">
        <v>79</v>
      </c>
      <c r="D416" s="6">
        <v>33767.699999999997</v>
      </c>
      <c r="E416" s="6">
        <v>11143.34</v>
      </c>
      <c r="F416" s="6">
        <v>11143.34</v>
      </c>
    </row>
    <row r="417" spans="1:6" x14ac:dyDescent="0.25">
      <c r="A417" t="str">
        <f>"059287"</f>
        <v>059287</v>
      </c>
      <c r="B417" t="s">
        <v>232</v>
      </c>
      <c r="C417">
        <v>91</v>
      </c>
      <c r="D417" s="6">
        <v>38896.97</v>
      </c>
      <c r="E417" s="6">
        <v>12836</v>
      </c>
      <c r="F417" s="6">
        <v>12836</v>
      </c>
    </row>
    <row r="418" spans="1:6" x14ac:dyDescent="0.25">
      <c r="A418" t="str">
        <f>"059303"</f>
        <v>059303</v>
      </c>
      <c r="B418" t="s">
        <v>341</v>
      </c>
      <c r="C418">
        <v>391</v>
      </c>
      <c r="D418" s="6">
        <v>167128.73000000001</v>
      </c>
      <c r="E418" s="6">
        <v>55152.480000000003</v>
      </c>
      <c r="F418" s="6">
        <v>55152.480000000003</v>
      </c>
    </row>
    <row r="419" spans="1:6" x14ac:dyDescent="0.25">
      <c r="A419" t="str">
        <f>"059337"</f>
        <v>059337</v>
      </c>
      <c r="B419" t="s">
        <v>236</v>
      </c>
      <c r="C419">
        <v>109</v>
      </c>
      <c r="D419" s="6">
        <v>46590.87</v>
      </c>
      <c r="E419" s="6">
        <v>15374.99</v>
      </c>
      <c r="F419" s="6">
        <v>15374.980000000001</v>
      </c>
    </row>
    <row r="420" spans="1:6" x14ac:dyDescent="0.25">
      <c r="A420" t="str">
        <f>"059345"</f>
        <v>059345</v>
      </c>
      <c r="B420" t="s">
        <v>342</v>
      </c>
      <c r="C420">
        <v>325</v>
      </c>
      <c r="D420" s="6">
        <v>138917.75</v>
      </c>
      <c r="E420" s="6">
        <v>45842.86</v>
      </c>
      <c r="F420" s="6">
        <v>45842.86</v>
      </c>
    </row>
    <row r="421" spans="1:6" x14ac:dyDescent="0.25">
      <c r="A421" t="str">
        <f>"059360"</f>
        <v>059360</v>
      </c>
      <c r="B421" t="s">
        <v>237</v>
      </c>
      <c r="C421">
        <v>125</v>
      </c>
      <c r="D421" s="6">
        <v>53429.9</v>
      </c>
      <c r="E421" s="6">
        <v>17631.87</v>
      </c>
      <c r="F421" s="6">
        <v>17631.860000000004</v>
      </c>
    </row>
    <row r="422" spans="1:6" x14ac:dyDescent="0.25">
      <c r="A422" t="str">
        <f>"059378"</f>
        <v>059378</v>
      </c>
      <c r="B422" t="s">
        <v>237</v>
      </c>
      <c r="C422">
        <v>161</v>
      </c>
      <c r="D422" s="6">
        <v>68817.710000000006</v>
      </c>
      <c r="E422" s="6">
        <v>22709.84</v>
      </c>
      <c r="F422" s="6">
        <v>22709.850000000002</v>
      </c>
    </row>
    <row r="423" spans="1:6" x14ac:dyDescent="0.25">
      <c r="A423" t="str">
        <f>"059386"</f>
        <v>059386</v>
      </c>
      <c r="B423" t="s">
        <v>237</v>
      </c>
      <c r="C423">
        <v>125</v>
      </c>
      <c r="D423" s="6">
        <v>53429.9</v>
      </c>
      <c r="E423" s="6">
        <v>17631.87</v>
      </c>
      <c r="F423" s="6">
        <v>17631.860000000004</v>
      </c>
    </row>
    <row r="424" spans="1:6" x14ac:dyDescent="0.25">
      <c r="A424" t="str">
        <f>"059394"</f>
        <v>059394</v>
      </c>
      <c r="B424" t="s">
        <v>295</v>
      </c>
      <c r="C424">
        <v>257</v>
      </c>
      <c r="D424" s="6">
        <v>109851.88</v>
      </c>
      <c r="E424" s="6">
        <v>36251.120000000003</v>
      </c>
      <c r="F424" s="6">
        <v>36251.120000000003</v>
      </c>
    </row>
    <row r="425" spans="1:6" x14ac:dyDescent="0.25">
      <c r="A425" t="str">
        <f>"059428"</f>
        <v>059428</v>
      </c>
      <c r="B425" t="s">
        <v>319</v>
      </c>
      <c r="C425">
        <v>150</v>
      </c>
      <c r="D425" s="6">
        <v>64115.88</v>
      </c>
      <c r="E425" s="6">
        <v>21158.240000000002</v>
      </c>
      <c r="F425" s="6">
        <v>21158.240000000002</v>
      </c>
    </row>
    <row r="426" spans="1:6" x14ac:dyDescent="0.25">
      <c r="A426" t="str">
        <f>"059436"</f>
        <v>059436</v>
      </c>
      <c r="B426" t="s">
        <v>343</v>
      </c>
      <c r="C426">
        <v>56</v>
      </c>
      <c r="D426" s="6">
        <v>23936.6</v>
      </c>
      <c r="E426" s="6">
        <v>7899.08</v>
      </c>
      <c r="F426" s="6">
        <v>7899.08</v>
      </c>
    </row>
    <row r="427" spans="1:6" x14ac:dyDescent="0.25">
      <c r="A427" t="str">
        <f>"059444"</f>
        <v>059444</v>
      </c>
      <c r="B427" t="s">
        <v>320</v>
      </c>
      <c r="C427">
        <v>106</v>
      </c>
      <c r="D427" s="6">
        <v>45308.56</v>
      </c>
      <c r="E427" s="6">
        <v>14951.82</v>
      </c>
      <c r="F427" s="6">
        <v>14951.830000000002</v>
      </c>
    </row>
    <row r="428" spans="1:6" x14ac:dyDescent="0.25">
      <c r="A428" t="str">
        <f>"059451"</f>
        <v>059451</v>
      </c>
      <c r="B428" t="s">
        <v>320</v>
      </c>
      <c r="C428">
        <v>334</v>
      </c>
      <c r="D428" s="6">
        <v>142764.70000000001</v>
      </c>
      <c r="E428" s="6">
        <v>47112.35</v>
      </c>
      <c r="F428" s="6">
        <v>47112.35</v>
      </c>
    </row>
    <row r="429" spans="1:6" x14ac:dyDescent="0.25">
      <c r="A429" t="str">
        <f>"059535"</f>
        <v>059535</v>
      </c>
      <c r="B429" t="s">
        <v>329</v>
      </c>
      <c r="C429">
        <v>99</v>
      </c>
      <c r="D429" s="6">
        <v>42316.480000000003</v>
      </c>
      <c r="E429" s="6">
        <v>13964.44</v>
      </c>
      <c r="F429" s="6">
        <v>13964.44</v>
      </c>
    </row>
    <row r="430" spans="1:6" x14ac:dyDescent="0.25">
      <c r="A430" t="str">
        <f>"059592"</f>
        <v>059592</v>
      </c>
      <c r="B430" t="s">
        <v>333</v>
      </c>
      <c r="C430">
        <v>290</v>
      </c>
      <c r="D430" s="6">
        <v>123957.37</v>
      </c>
      <c r="E430" s="6">
        <v>40905.93</v>
      </c>
      <c r="F430" s="6">
        <v>40905.93</v>
      </c>
    </row>
    <row r="431" spans="1:6" x14ac:dyDescent="0.25">
      <c r="A431" t="str">
        <f>"059626"</f>
        <v>059626</v>
      </c>
      <c r="B431" t="s">
        <v>344</v>
      </c>
      <c r="C431">
        <v>173</v>
      </c>
      <c r="D431" s="6">
        <v>73946.98</v>
      </c>
      <c r="E431" s="6">
        <v>24402.5</v>
      </c>
      <c r="F431" s="6">
        <v>24402.510000000002</v>
      </c>
    </row>
    <row r="432" spans="1:6" x14ac:dyDescent="0.25">
      <c r="A432" t="str">
        <f>"059634"</f>
        <v>059634</v>
      </c>
      <c r="B432" t="s">
        <v>345</v>
      </c>
      <c r="C432">
        <v>112</v>
      </c>
      <c r="D432" s="6">
        <v>47873.19</v>
      </c>
      <c r="E432" s="6">
        <v>15798.15</v>
      </c>
      <c r="F432" s="6">
        <v>15798.160000000002</v>
      </c>
    </row>
    <row r="433" spans="1:6" x14ac:dyDescent="0.25">
      <c r="A433" t="str">
        <f>"059667"</f>
        <v>059667</v>
      </c>
      <c r="B433" t="s">
        <v>142</v>
      </c>
      <c r="C433">
        <v>181</v>
      </c>
      <c r="D433" s="6">
        <v>77366.5</v>
      </c>
      <c r="E433" s="6">
        <v>25530.95</v>
      </c>
      <c r="F433" s="6">
        <v>25530.94</v>
      </c>
    </row>
    <row r="434" spans="1:6" x14ac:dyDescent="0.25">
      <c r="A434" t="str">
        <f>"059691"</f>
        <v>059691</v>
      </c>
      <c r="B434" t="s">
        <v>235</v>
      </c>
      <c r="C434">
        <v>341</v>
      </c>
      <c r="D434" s="6">
        <v>145756.76999999999</v>
      </c>
      <c r="E434" s="6">
        <v>48099.73</v>
      </c>
      <c r="F434" s="6">
        <v>48099.74</v>
      </c>
    </row>
    <row r="435" spans="1:6" x14ac:dyDescent="0.25">
      <c r="A435" t="str">
        <f>"059717"</f>
        <v>059717</v>
      </c>
      <c r="B435" t="s">
        <v>237</v>
      </c>
      <c r="C435">
        <v>129</v>
      </c>
      <c r="D435" s="6">
        <v>55139.66</v>
      </c>
      <c r="E435" s="6">
        <v>18196.09</v>
      </c>
      <c r="F435" s="6">
        <v>18196.09</v>
      </c>
    </row>
    <row r="436" spans="1:6" x14ac:dyDescent="0.25">
      <c r="A436" t="str">
        <f>"059733"</f>
        <v>059733</v>
      </c>
      <c r="B436" t="s">
        <v>303</v>
      </c>
      <c r="C436">
        <v>196</v>
      </c>
      <c r="D436" s="6">
        <v>83778.09</v>
      </c>
      <c r="E436" s="6">
        <v>27646.77</v>
      </c>
      <c r="F436" s="6">
        <v>27646.77</v>
      </c>
    </row>
    <row r="437" spans="1:6" x14ac:dyDescent="0.25">
      <c r="A437" t="str">
        <f>"059790"</f>
        <v>059790</v>
      </c>
      <c r="B437" t="s">
        <v>320</v>
      </c>
      <c r="C437">
        <v>305</v>
      </c>
      <c r="D437" s="6">
        <v>130368.96000000001</v>
      </c>
      <c r="E437" s="6">
        <v>43021.760000000002</v>
      </c>
      <c r="F437" s="6">
        <v>43021.749999999993</v>
      </c>
    </row>
    <row r="438" spans="1:6" x14ac:dyDescent="0.25">
      <c r="A438" t="str">
        <f>"059816"</f>
        <v>059816</v>
      </c>
      <c r="B438" t="s">
        <v>236</v>
      </c>
      <c r="C438">
        <v>218</v>
      </c>
      <c r="D438" s="6">
        <v>93181.75</v>
      </c>
      <c r="E438" s="6">
        <v>30749.98</v>
      </c>
      <c r="F438" s="6">
        <v>30749.98</v>
      </c>
    </row>
    <row r="439" spans="1:6" x14ac:dyDescent="0.25">
      <c r="A439" t="str">
        <f>"059840"</f>
        <v>059840</v>
      </c>
      <c r="B439" t="s">
        <v>229</v>
      </c>
      <c r="C439">
        <v>29</v>
      </c>
      <c r="D439" s="6">
        <v>12395.74</v>
      </c>
      <c r="E439" s="6">
        <v>4090.59</v>
      </c>
      <c r="F439" s="6">
        <v>4090.5999999999995</v>
      </c>
    </row>
    <row r="440" spans="1:6" x14ac:dyDescent="0.25">
      <c r="A440" t="str">
        <f>"059865"</f>
        <v>059865</v>
      </c>
      <c r="B440" t="s">
        <v>346</v>
      </c>
      <c r="C440">
        <v>68</v>
      </c>
      <c r="D440" s="6">
        <v>29065.87</v>
      </c>
      <c r="E440" s="6">
        <v>9591.74</v>
      </c>
      <c r="F440" s="6">
        <v>9591.7300000000014</v>
      </c>
    </row>
    <row r="441" spans="1:6" x14ac:dyDescent="0.25">
      <c r="A441" t="str">
        <f>"059881"</f>
        <v>059881</v>
      </c>
      <c r="B441" t="s">
        <v>232</v>
      </c>
      <c r="C441">
        <v>173</v>
      </c>
      <c r="D441" s="6">
        <v>73946.98</v>
      </c>
      <c r="E441" s="6">
        <v>24402.5</v>
      </c>
      <c r="F441" s="6">
        <v>24402.510000000002</v>
      </c>
    </row>
    <row r="442" spans="1:6" x14ac:dyDescent="0.25">
      <c r="A442" t="str">
        <f>"059956"</f>
        <v>059956</v>
      </c>
      <c r="B442" t="s">
        <v>318</v>
      </c>
      <c r="C442">
        <v>327</v>
      </c>
      <c r="D442" s="6">
        <v>139772.62</v>
      </c>
      <c r="E442" s="6">
        <v>46124.959999999999</v>
      </c>
      <c r="F442" s="6">
        <v>46124.969999999994</v>
      </c>
    </row>
    <row r="443" spans="1:6" x14ac:dyDescent="0.25">
      <c r="A443" t="str">
        <f>"059964"</f>
        <v>059964</v>
      </c>
      <c r="B443" t="s">
        <v>181</v>
      </c>
      <c r="C443">
        <v>250</v>
      </c>
      <c r="D443" s="6">
        <v>106859.8</v>
      </c>
      <c r="E443" s="6">
        <v>35263.730000000003</v>
      </c>
      <c r="F443" s="6">
        <v>35263.74</v>
      </c>
    </row>
    <row r="444" spans="1:6" x14ac:dyDescent="0.25">
      <c r="A444" t="str">
        <f>"059980"</f>
        <v>059980</v>
      </c>
      <c r="B444" t="s">
        <v>318</v>
      </c>
      <c r="C444">
        <v>79</v>
      </c>
      <c r="D444" s="6">
        <v>33767.699999999997</v>
      </c>
      <c r="E444" s="6">
        <v>11143.34</v>
      </c>
      <c r="F444" s="6">
        <v>11143.34</v>
      </c>
    </row>
    <row r="445" spans="1:6" x14ac:dyDescent="0.25">
      <c r="A445" t="str">
        <f>"060004"</f>
        <v>060004</v>
      </c>
      <c r="B445" t="s">
        <v>347</v>
      </c>
      <c r="C445">
        <v>187</v>
      </c>
      <c r="D445" s="6">
        <v>79931.13</v>
      </c>
      <c r="E445" s="6">
        <v>26377.27</v>
      </c>
      <c r="F445" s="6">
        <v>26377.280000000002</v>
      </c>
    </row>
    <row r="446" spans="1:6" x14ac:dyDescent="0.25">
      <c r="A446" t="str">
        <f>"060012"</f>
        <v>060012</v>
      </c>
      <c r="B446" t="s">
        <v>225</v>
      </c>
      <c r="C446">
        <v>114</v>
      </c>
      <c r="D446" s="6">
        <v>48728.07</v>
      </c>
      <c r="E446" s="6">
        <v>16080.26</v>
      </c>
      <c r="F446" s="6">
        <v>16080.269999999999</v>
      </c>
    </row>
    <row r="447" spans="1:6" x14ac:dyDescent="0.25">
      <c r="A447" t="str">
        <f>"060020"</f>
        <v>060020</v>
      </c>
      <c r="B447" t="s">
        <v>348</v>
      </c>
      <c r="C447">
        <v>267</v>
      </c>
      <c r="D447" s="6">
        <v>114126.27</v>
      </c>
      <c r="E447" s="6">
        <v>37661.67</v>
      </c>
      <c r="F447" s="6">
        <v>37661.67</v>
      </c>
    </row>
    <row r="448" spans="1:6" x14ac:dyDescent="0.25">
      <c r="A448" t="str">
        <f>"060095"</f>
        <v>060095</v>
      </c>
      <c r="B448" t="s">
        <v>221</v>
      </c>
      <c r="C448">
        <v>51</v>
      </c>
      <c r="D448" s="6">
        <v>21799.4</v>
      </c>
      <c r="E448" s="6">
        <v>7193.8</v>
      </c>
      <c r="F448" s="6">
        <v>7193.8</v>
      </c>
    </row>
    <row r="449" spans="1:6" x14ac:dyDescent="0.25">
      <c r="A449" t="str">
        <f>"060152"</f>
        <v>060152</v>
      </c>
      <c r="B449" t="s">
        <v>349</v>
      </c>
      <c r="C449">
        <v>330</v>
      </c>
      <c r="D449" s="6">
        <v>141054.94</v>
      </c>
      <c r="E449" s="6">
        <v>46548.13</v>
      </c>
      <c r="F449" s="6">
        <v>46548.13</v>
      </c>
    </row>
    <row r="450" spans="1:6" x14ac:dyDescent="0.25">
      <c r="A450" t="str">
        <f>"060301"</f>
        <v>060301</v>
      </c>
      <c r="B450" t="s">
        <v>350</v>
      </c>
      <c r="C450">
        <v>199</v>
      </c>
      <c r="D450" s="6">
        <v>85060.4</v>
      </c>
      <c r="E450" s="6">
        <v>28069.93</v>
      </c>
      <c r="F450" s="6">
        <v>28069.93</v>
      </c>
    </row>
    <row r="451" spans="1:6" x14ac:dyDescent="0.25">
      <c r="A451" t="str">
        <f>"060327"</f>
        <v>060327</v>
      </c>
      <c r="B451" t="s">
        <v>351</v>
      </c>
      <c r="C451">
        <v>154</v>
      </c>
      <c r="D451" s="6">
        <v>65825.64</v>
      </c>
      <c r="E451" s="6">
        <v>21722.46</v>
      </c>
      <c r="F451" s="6">
        <v>21722.46</v>
      </c>
    </row>
    <row r="452" spans="1:6" x14ac:dyDescent="0.25">
      <c r="A452" t="str">
        <f>"060335"</f>
        <v>060335</v>
      </c>
      <c r="B452" t="s">
        <v>352</v>
      </c>
      <c r="C452">
        <v>25</v>
      </c>
      <c r="D452" s="6">
        <v>10685.98</v>
      </c>
      <c r="E452" s="6">
        <v>3526.37</v>
      </c>
      <c r="F452" s="6">
        <v>3526.38</v>
      </c>
    </row>
    <row r="453" spans="1:6" x14ac:dyDescent="0.25">
      <c r="A453" t="str">
        <f>"060343"</f>
        <v>060343</v>
      </c>
      <c r="B453" t="s">
        <v>353</v>
      </c>
      <c r="C453">
        <v>228</v>
      </c>
      <c r="D453" s="6">
        <v>97456.14</v>
      </c>
      <c r="E453" s="6">
        <v>32160.53</v>
      </c>
      <c r="F453" s="6">
        <v>32160.520000000004</v>
      </c>
    </row>
    <row r="454" spans="1:6" x14ac:dyDescent="0.25">
      <c r="A454" t="str">
        <f>"060368"</f>
        <v>060368</v>
      </c>
      <c r="B454" t="s">
        <v>354</v>
      </c>
      <c r="C454">
        <v>158</v>
      </c>
      <c r="D454" s="6">
        <v>67535.399999999994</v>
      </c>
      <c r="E454" s="6">
        <v>22286.68</v>
      </c>
      <c r="F454" s="6">
        <v>22286.68</v>
      </c>
    </row>
    <row r="455" spans="1:6" x14ac:dyDescent="0.25">
      <c r="A455" t="str">
        <f>"060384"</f>
        <v>060384</v>
      </c>
      <c r="B455" t="s">
        <v>355</v>
      </c>
      <c r="C455">
        <v>160</v>
      </c>
      <c r="D455" s="6">
        <v>68390.28</v>
      </c>
      <c r="E455" s="6">
        <v>22568.79</v>
      </c>
      <c r="F455" s="6">
        <v>22568.79</v>
      </c>
    </row>
    <row r="456" spans="1:6" x14ac:dyDescent="0.25">
      <c r="A456" t="str">
        <f>"060392"</f>
        <v>060392</v>
      </c>
      <c r="B456" t="s">
        <v>355</v>
      </c>
      <c r="C456">
        <v>83</v>
      </c>
      <c r="D456" s="6">
        <v>35477.46</v>
      </c>
      <c r="E456" s="6">
        <v>11707.56</v>
      </c>
      <c r="F456" s="6">
        <v>11707.56</v>
      </c>
    </row>
    <row r="457" spans="1:6" x14ac:dyDescent="0.25">
      <c r="A457" t="str">
        <f>"060426"</f>
        <v>060426</v>
      </c>
      <c r="B457" t="s">
        <v>355</v>
      </c>
      <c r="C457">
        <v>197</v>
      </c>
      <c r="D457" s="6">
        <v>84205.53</v>
      </c>
      <c r="E457" s="6">
        <v>27787.82</v>
      </c>
      <c r="F457" s="6">
        <v>27787.83</v>
      </c>
    </row>
    <row r="458" spans="1:6" x14ac:dyDescent="0.25">
      <c r="A458" t="str">
        <f>"060434"</f>
        <v>060434</v>
      </c>
      <c r="B458" t="s">
        <v>355</v>
      </c>
      <c r="C458">
        <v>39</v>
      </c>
      <c r="D458" s="6">
        <v>16670.13</v>
      </c>
      <c r="E458" s="6">
        <v>5501.14</v>
      </c>
      <c r="F458" s="6">
        <v>5501.1500000000005</v>
      </c>
    </row>
    <row r="459" spans="1:6" x14ac:dyDescent="0.25">
      <c r="A459" t="str">
        <f>"060491"</f>
        <v>060491</v>
      </c>
      <c r="B459" t="s">
        <v>356</v>
      </c>
      <c r="C459">
        <v>141</v>
      </c>
      <c r="D459" s="6">
        <v>60268.93</v>
      </c>
      <c r="E459" s="6">
        <v>19888.75</v>
      </c>
      <c r="F459" s="6">
        <v>19888.739999999998</v>
      </c>
    </row>
    <row r="460" spans="1:6" x14ac:dyDescent="0.25">
      <c r="A460" t="str">
        <f>"060509"</f>
        <v>060509</v>
      </c>
      <c r="B460" t="s">
        <v>356</v>
      </c>
      <c r="C460">
        <v>136</v>
      </c>
      <c r="D460" s="6">
        <v>58131.73</v>
      </c>
      <c r="E460" s="6">
        <v>19183.47</v>
      </c>
      <c r="F460" s="6">
        <v>19183.47</v>
      </c>
    </row>
    <row r="461" spans="1:6" x14ac:dyDescent="0.25">
      <c r="A461" t="str">
        <f>"060533"</f>
        <v>060533</v>
      </c>
      <c r="B461" t="s">
        <v>357</v>
      </c>
      <c r="C461">
        <v>8</v>
      </c>
      <c r="D461" s="6">
        <v>3419.51</v>
      </c>
      <c r="E461" s="6">
        <v>1128.44</v>
      </c>
      <c r="F461" s="6">
        <v>1128.44</v>
      </c>
    </row>
    <row r="462" spans="1:6" x14ac:dyDescent="0.25">
      <c r="A462" t="str">
        <f>"060541"</f>
        <v>060541</v>
      </c>
      <c r="B462" t="s">
        <v>358</v>
      </c>
      <c r="C462">
        <v>167</v>
      </c>
      <c r="D462" s="6">
        <v>71382.350000000006</v>
      </c>
      <c r="E462" s="6">
        <v>23556.18</v>
      </c>
      <c r="F462" s="6">
        <v>23556.17</v>
      </c>
    </row>
    <row r="463" spans="1:6" x14ac:dyDescent="0.25">
      <c r="A463" t="str">
        <f>"060574"</f>
        <v>060574</v>
      </c>
      <c r="B463" t="s">
        <v>359</v>
      </c>
      <c r="C463">
        <v>101</v>
      </c>
      <c r="D463" s="6">
        <v>43171.360000000001</v>
      </c>
      <c r="E463" s="6">
        <v>14246.55</v>
      </c>
      <c r="F463" s="6">
        <v>14246.55</v>
      </c>
    </row>
    <row r="464" spans="1:6" x14ac:dyDescent="0.25">
      <c r="A464" t="str">
        <f>"060582"</f>
        <v>060582</v>
      </c>
      <c r="B464" t="s">
        <v>360</v>
      </c>
      <c r="C464">
        <v>115</v>
      </c>
      <c r="D464" s="6">
        <v>49155.51</v>
      </c>
      <c r="E464" s="6">
        <v>16221.32</v>
      </c>
      <c r="F464" s="6">
        <v>16221.32</v>
      </c>
    </row>
    <row r="465" spans="1:6" x14ac:dyDescent="0.25">
      <c r="A465" t="str">
        <f>"060590"</f>
        <v>060590</v>
      </c>
      <c r="B465" t="s">
        <v>361</v>
      </c>
      <c r="C465">
        <v>242</v>
      </c>
      <c r="D465" s="6">
        <v>103440.29</v>
      </c>
      <c r="E465" s="6">
        <v>34135.300000000003</v>
      </c>
      <c r="F465" s="6">
        <v>34135.289999999994</v>
      </c>
    </row>
    <row r="466" spans="1:6" x14ac:dyDescent="0.25">
      <c r="A466" t="str">
        <f>"060624"</f>
        <v>060624</v>
      </c>
      <c r="B466" t="s">
        <v>362</v>
      </c>
      <c r="C466">
        <v>217</v>
      </c>
      <c r="D466" s="6">
        <v>92754.31</v>
      </c>
      <c r="E466" s="6">
        <v>30608.92</v>
      </c>
      <c r="F466" s="6">
        <v>30608.92</v>
      </c>
    </row>
    <row r="467" spans="1:6" x14ac:dyDescent="0.25">
      <c r="A467" t="str">
        <f>"060640"</f>
        <v>060640</v>
      </c>
      <c r="B467" t="s">
        <v>363</v>
      </c>
      <c r="C467">
        <v>130</v>
      </c>
      <c r="D467" s="6">
        <v>55567.1</v>
      </c>
      <c r="E467" s="6">
        <v>18337.14</v>
      </c>
      <c r="F467" s="6">
        <v>18337.150000000001</v>
      </c>
    </row>
    <row r="468" spans="1:6" x14ac:dyDescent="0.25">
      <c r="A468" t="str">
        <f>"060657"</f>
        <v>060657</v>
      </c>
      <c r="B468" t="s">
        <v>364</v>
      </c>
      <c r="C468">
        <v>227</v>
      </c>
      <c r="D468" s="6">
        <v>97028.7</v>
      </c>
      <c r="E468" s="6">
        <v>32019.47</v>
      </c>
      <c r="F468" s="6">
        <v>32019.47</v>
      </c>
    </row>
    <row r="469" spans="1:6" x14ac:dyDescent="0.25">
      <c r="A469" t="str">
        <f>"060723"</f>
        <v>060723</v>
      </c>
      <c r="B469" t="s">
        <v>365</v>
      </c>
      <c r="C469">
        <v>508</v>
      </c>
      <c r="D469" s="6">
        <v>217139.12</v>
      </c>
      <c r="E469" s="6">
        <v>71655.91</v>
      </c>
      <c r="F469" s="6">
        <v>71655.91</v>
      </c>
    </row>
    <row r="470" spans="1:6" x14ac:dyDescent="0.25">
      <c r="A470" t="str">
        <f>"060764"</f>
        <v>060764</v>
      </c>
      <c r="B470" t="s">
        <v>366</v>
      </c>
      <c r="C470">
        <v>512</v>
      </c>
      <c r="D470" s="6">
        <v>218848.88</v>
      </c>
      <c r="E470" s="6">
        <v>72220.13</v>
      </c>
      <c r="F470" s="6">
        <v>72220.13</v>
      </c>
    </row>
    <row r="471" spans="1:6" x14ac:dyDescent="0.25">
      <c r="A471" t="str">
        <f>"060806"</f>
        <v>060806</v>
      </c>
      <c r="B471" t="s">
        <v>367</v>
      </c>
      <c r="C471">
        <v>524</v>
      </c>
      <c r="D471" s="6">
        <v>223978.15</v>
      </c>
      <c r="E471" s="6">
        <v>73912.789999999994</v>
      </c>
      <c r="F471" s="6">
        <v>73912.789999999994</v>
      </c>
    </row>
    <row r="472" spans="1:6" x14ac:dyDescent="0.25">
      <c r="A472" t="str">
        <f>"060848"</f>
        <v>060848</v>
      </c>
      <c r="B472" t="s">
        <v>368</v>
      </c>
      <c r="C472">
        <v>387</v>
      </c>
      <c r="D472" s="6">
        <v>165418.98000000001</v>
      </c>
      <c r="E472" s="6">
        <v>54588.26</v>
      </c>
      <c r="F472" s="6">
        <v>54588.27</v>
      </c>
    </row>
    <row r="473" spans="1:6" x14ac:dyDescent="0.25">
      <c r="A473" t="str">
        <f>"060863"</f>
        <v>060863</v>
      </c>
      <c r="B473" t="s">
        <v>369</v>
      </c>
      <c r="C473">
        <v>56</v>
      </c>
      <c r="D473" s="6">
        <v>23936.6</v>
      </c>
      <c r="E473" s="6">
        <v>7899.08</v>
      </c>
      <c r="F473" s="6">
        <v>7899.08</v>
      </c>
    </row>
    <row r="474" spans="1:6" x14ac:dyDescent="0.25">
      <c r="A474" t="str">
        <f>"060889"</f>
        <v>060889</v>
      </c>
      <c r="B474" t="s">
        <v>370</v>
      </c>
      <c r="C474">
        <v>39</v>
      </c>
      <c r="D474" s="6">
        <v>16670.13</v>
      </c>
      <c r="E474" s="6">
        <v>5501.14</v>
      </c>
      <c r="F474" s="6">
        <v>5501.1500000000005</v>
      </c>
    </row>
    <row r="475" spans="1:6" x14ac:dyDescent="0.25">
      <c r="A475" t="str">
        <f>"060905"</f>
        <v>060905</v>
      </c>
      <c r="B475" t="s">
        <v>371</v>
      </c>
      <c r="C475">
        <v>403</v>
      </c>
      <c r="D475" s="6">
        <v>172258.01</v>
      </c>
      <c r="E475" s="6">
        <v>56845.14</v>
      </c>
      <c r="F475" s="6">
        <v>56845.149999999994</v>
      </c>
    </row>
    <row r="476" spans="1:6" x14ac:dyDescent="0.25">
      <c r="A476" t="str">
        <f>"060921"</f>
        <v>060921</v>
      </c>
      <c r="B476" t="s">
        <v>356</v>
      </c>
      <c r="C476">
        <v>75</v>
      </c>
      <c r="D476" s="6">
        <v>32057.94</v>
      </c>
      <c r="E476" s="6">
        <v>10579.12</v>
      </c>
      <c r="F476" s="6">
        <v>10579.12</v>
      </c>
    </row>
    <row r="477" spans="1:6" x14ac:dyDescent="0.25">
      <c r="A477" t="str">
        <f>"060947"</f>
        <v>060947</v>
      </c>
      <c r="B477" t="s">
        <v>372</v>
      </c>
      <c r="C477">
        <v>155</v>
      </c>
      <c r="D477" s="6">
        <v>66253.08</v>
      </c>
      <c r="E477" s="6">
        <v>21863.52</v>
      </c>
      <c r="F477" s="6">
        <v>21863.51</v>
      </c>
    </row>
    <row r="478" spans="1:6" x14ac:dyDescent="0.25">
      <c r="A478" t="str">
        <f>"060954"</f>
        <v>060954</v>
      </c>
      <c r="B478" t="s">
        <v>335</v>
      </c>
      <c r="C478">
        <v>412</v>
      </c>
      <c r="D478" s="6">
        <v>176104.95999999999</v>
      </c>
      <c r="E478" s="6">
        <v>58114.64</v>
      </c>
      <c r="F478" s="6">
        <v>58114.630000000005</v>
      </c>
    </row>
    <row r="479" spans="1:6" x14ac:dyDescent="0.25">
      <c r="A479" t="str">
        <f>"060962"</f>
        <v>060962</v>
      </c>
      <c r="B479" t="s">
        <v>373</v>
      </c>
      <c r="C479">
        <v>346</v>
      </c>
      <c r="D479" s="6">
        <v>147893.97</v>
      </c>
      <c r="E479" s="6">
        <v>48805.01</v>
      </c>
      <c r="F479" s="6">
        <v>48805.01</v>
      </c>
    </row>
    <row r="480" spans="1:6" x14ac:dyDescent="0.25">
      <c r="A480" t="str">
        <f>"062463"</f>
        <v>062463</v>
      </c>
      <c r="B480" t="s">
        <v>374</v>
      </c>
      <c r="C480">
        <v>10</v>
      </c>
      <c r="D480" s="6">
        <v>4274.3900000000003</v>
      </c>
      <c r="E480" s="6">
        <v>1410.55</v>
      </c>
      <c r="F480" s="6">
        <v>1410.55</v>
      </c>
    </row>
    <row r="481" spans="1:6" x14ac:dyDescent="0.25">
      <c r="A481" t="str">
        <f>"062471"</f>
        <v>062471</v>
      </c>
      <c r="B481" t="s">
        <v>375</v>
      </c>
      <c r="C481">
        <v>426</v>
      </c>
      <c r="D481" s="6">
        <v>182089.11</v>
      </c>
      <c r="E481" s="6">
        <v>60089.41</v>
      </c>
      <c r="F481" s="6">
        <v>60089.399999999994</v>
      </c>
    </row>
    <row r="482" spans="1:6" x14ac:dyDescent="0.25">
      <c r="A482" t="str">
        <f>"062489"</f>
        <v>062489</v>
      </c>
      <c r="B482" t="s">
        <v>376</v>
      </c>
      <c r="C482">
        <v>987</v>
      </c>
      <c r="D482" s="6">
        <v>421882.51</v>
      </c>
      <c r="E482" s="6">
        <v>139221.23000000001</v>
      </c>
      <c r="F482" s="6">
        <v>139221.23000000001</v>
      </c>
    </row>
    <row r="483" spans="1:6" x14ac:dyDescent="0.25">
      <c r="A483" t="str">
        <f>"062497"</f>
        <v>062497</v>
      </c>
      <c r="B483" t="s">
        <v>358</v>
      </c>
      <c r="C483">
        <v>180</v>
      </c>
      <c r="D483" s="6">
        <v>71692.53</v>
      </c>
      <c r="E483" s="6">
        <v>23658.53</v>
      </c>
      <c r="F483" s="6">
        <v>23658.54</v>
      </c>
    </row>
    <row r="484" spans="1:6" x14ac:dyDescent="0.25">
      <c r="A484" t="str">
        <f>"062521"</f>
        <v>062521</v>
      </c>
      <c r="B484" t="s">
        <v>377</v>
      </c>
      <c r="C484">
        <v>32</v>
      </c>
      <c r="D484" s="6">
        <v>13678.06</v>
      </c>
      <c r="E484" s="6">
        <v>4513.76</v>
      </c>
      <c r="F484" s="6">
        <v>4513.76</v>
      </c>
    </row>
    <row r="485" spans="1:6" x14ac:dyDescent="0.25">
      <c r="A485" t="str">
        <f>"062562"</f>
        <v>062562</v>
      </c>
      <c r="B485" t="s">
        <v>378</v>
      </c>
      <c r="C485">
        <v>502</v>
      </c>
      <c r="D485" s="6">
        <v>214574.49</v>
      </c>
      <c r="E485" s="6">
        <v>70809.58</v>
      </c>
      <c r="F485" s="6">
        <v>70809.58</v>
      </c>
    </row>
    <row r="486" spans="1:6" x14ac:dyDescent="0.25">
      <c r="A486" t="str">
        <f>"062604"</f>
        <v>062604</v>
      </c>
      <c r="B486" t="s">
        <v>379</v>
      </c>
      <c r="C486">
        <v>115</v>
      </c>
      <c r="D486" s="6">
        <v>49155.51</v>
      </c>
      <c r="E486" s="6">
        <v>16221.32</v>
      </c>
      <c r="F486" s="6">
        <v>16221.32</v>
      </c>
    </row>
    <row r="487" spans="1:6" x14ac:dyDescent="0.25">
      <c r="A487" t="str">
        <f>"062612"</f>
        <v>062612</v>
      </c>
      <c r="B487" t="s">
        <v>380</v>
      </c>
      <c r="C487">
        <v>108</v>
      </c>
      <c r="D487" s="6">
        <v>46163.44</v>
      </c>
      <c r="E487" s="6">
        <v>15233.94</v>
      </c>
      <c r="F487" s="6">
        <v>15233.929999999998</v>
      </c>
    </row>
    <row r="488" spans="1:6" x14ac:dyDescent="0.25">
      <c r="A488" t="str">
        <f>"062620"</f>
        <v>062620</v>
      </c>
      <c r="B488" t="s">
        <v>381</v>
      </c>
      <c r="C488">
        <v>215</v>
      </c>
      <c r="D488" s="6">
        <v>91899.43</v>
      </c>
      <c r="E488" s="6">
        <v>30326.81</v>
      </c>
      <c r="F488" s="6">
        <v>30326.81</v>
      </c>
    </row>
    <row r="489" spans="1:6" x14ac:dyDescent="0.25">
      <c r="A489" t="str">
        <f>"064394"</f>
        <v>064394</v>
      </c>
      <c r="B489" t="s">
        <v>382</v>
      </c>
      <c r="C489">
        <v>592</v>
      </c>
      <c r="D489" s="6">
        <v>253044.02</v>
      </c>
      <c r="E489" s="6">
        <v>83504.53</v>
      </c>
      <c r="F489" s="6">
        <v>83504.51999999999</v>
      </c>
    </row>
    <row r="490" spans="1:6" x14ac:dyDescent="0.25">
      <c r="A490" t="str">
        <f>"064402"</f>
        <v>064402</v>
      </c>
      <c r="B490" t="s">
        <v>383</v>
      </c>
      <c r="C490">
        <v>262</v>
      </c>
      <c r="D490" s="6">
        <v>111989.08</v>
      </c>
      <c r="E490" s="6">
        <v>36956.400000000001</v>
      </c>
      <c r="F490" s="6">
        <v>36956.389999999992</v>
      </c>
    </row>
    <row r="491" spans="1:6" x14ac:dyDescent="0.25">
      <c r="A491" t="str">
        <f>"064915"</f>
        <v>064915</v>
      </c>
      <c r="B491" t="s">
        <v>384</v>
      </c>
      <c r="C491">
        <v>611</v>
      </c>
      <c r="D491" s="6">
        <v>261165.36</v>
      </c>
      <c r="E491" s="6">
        <v>86184.57</v>
      </c>
      <c r="F491" s="6">
        <v>86184.57</v>
      </c>
    </row>
    <row r="492" spans="1:6" x14ac:dyDescent="0.25">
      <c r="A492" t="str">
        <f>"064923"</f>
        <v>064923</v>
      </c>
      <c r="B492" t="s">
        <v>385</v>
      </c>
      <c r="C492">
        <v>104</v>
      </c>
      <c r="D492" s="6">
        <v>44453.68</v>
      </c>
      <c r="E492" s="6">
        <v>14669.71</v>
      </c>
      <c r="F492" s="6">
        <v>14669.720000000001</v>
      </c>
    </row>
    <row r="493" spans="1:6" x14ac:dyDescent="0.25">
      <c r="A493" t="str">
        <f>"064931"</f>
        <v>064931</v>
      </c>
      <c r="B493" t="s">
        <v>386</v>
      </c>
      <c r="C493">
        <v>196</v>
      </c>
      <c r="D493" s="6">
        <v>83778.09</v>
      </c>
      <c r="E493" s="6">
        <v>27646.77</v>
      </c>
      <c r="F493" s="6">
        <v>27646.77</v>
      </c>
    </row>
    <row r="494" spans="1:6" x14ac:dyDescent="0.25">
      <c r="A494" t="str">
        <f>"065003"</f>
        <v>065003</v>
      </c>
      <c r="B494" t="s">
        <v>387</v>
      </c>
      <c r="C494">
        <v>159</v>
      </c>
      <c r="D494" s="6">
        <v>67962.84</v>
      </c>
      <c r="E494" s="6">
        <v>22427.74</v>
      </c>
      <c r="F494" s="6">
        <v>22427.73</v>
      </c>
    </row>
    <row r="495" spans="1:6" x14ac:dyDescent="0.25">
      <c r="A495" t="str">
        <f>"065722"</f>
        <v>065722</v>
      </c>
      <c r="B495" t="s">
        <v>388</v>
      </c>
      <c r="C495">
        <v>103</v>
      </c>
      <c r="D495" s="6">
        <v>44026.239999999998</v>
      </c>
      <c r="E495" s="6">
        <v>14528.66</v>
      </c>
      <c r="F495" s="6">
        <v>14528.66</v>
      </c>
    </row>
    <row r="496" spans="1:6" x14ac:dyDescent="0.25">
      <c r="A496" t="str">
        <f>"065730"</f>
        <v>065730</v>
      </c>
      <c r="B496" t="s">
        <v>389</v>
      </c>
      <c r="C496">
        <v>127</v>
      </c>
      <c r="D496" s="6">
        <v>54284.78</v>
      </c>
      <c r="E496" s="6">
        <v>17913.98</v>
      </c>
      <c r="F496" s="6">
        <v>17913.969999999998</v>
      </c>
    </row>
    <row r="497" spans="1:6" x14ac:dyDescent="0.25">
      <c r="A497" t="str">
        <f>"065755"</f>
        <v>065755</v>
      </c>
      <c r="B497" t="s">
        <v>390</v>
      </c>
      <c r="C497">
        <v>310</v>
      </c>
      <c r="D497" s="6">
        <v>132506.16</v>
      </c>
      <c r="E497" s="6">
        <v>43727.03</v>
      </c>
      <c r="F497" s="6">
        <v>43727.040000000008</v>
      </c>
    </row>
    <row r="498" spans="1:6" x14ac:dyDescent="0.25">
      <c r="A498" t="str">
        <f>"066555"</f>
        <v>066555</v>
      </c>
      <c r="B498" t="s">
        <v>391</v>
      </c>
      <c r="C498">
        <v>632</v>
      </c>
      <c r="D498" s="6">
        <v>270141.59000000003</v>
      </c>
      <c r="E498" s="6">
        <v>89146.72</v>
      </c>
      <c r="F498" s="6">
        <v>89146.73000000001</v>
      </c>
    </row>
    <row r="499" spans="1:6" x14ac:dyDescent="0.25">
      <c r="A499" t="str">
        <f>"067447"</f>
        <v>067447</v>
      </c>
      <c r="B499" t="s">
        <v>392</v>
      </c>
      <c r="C499">
        <v>212</v>
      </c>
      <c r="D499" s="6">
        <v>90617.11</v>
      </c>
      <c r="E499" s="6">
        <v>29903.65</v>
      </c>
      <c r="F499" s="6">
        <v>29903.64</v>
      </c>
    </row>
    <row r="500" spans="1:6" x14ac:dyDescent="0.25">
      <c r="A500" t="str">
        <f>"067538"</f>
        <v>067538</v>
      </c>
      <c r="B500" t="s">
        <v>393</v>
      </c>
      <c r="C500">
        <v>285</v>
      </c>
      <c r="D500" s="6">
        <v>121820.18</v>
      </c>
      <c r="E500" s="6">
        <v>40200.660000000003</v>
      </c>
      <c r="F500" s="6">
        <v>40200.660000000003</v>
      </c>
    </row>
    <row r="501" spans="1:6" x14ac:dyDescent="0.25">
      <c r="A501" t="str">
        <f>"067546"</f>
        <v>067546</v>
      </c>
      <c r="B501" t="s">
        <v>394</v>
      </c>
      <c r="C501">
        <v>403</v>
      </c>
      <c r="D501" s="6">
        <v>172258.01</v>
      </c>
      <c r="E501" s="6">
        <v>56845.14</v>
      </c>
      <c r="F501" s="6">
        <v>56845.149999999994</v>
      </c>
    </row>
    <row r="502" spans="1:6" x14ac:dyDescent="0.25">
      <c r="A502" t="str">
        <f>"067603"</f>
        <v>067603</v>
      </c>
      <c r="B502" t="s">
        <v>395</v>
      </c>
      <c r="C502">
        <v>167</v>
      </c>
      <c r="D502" s="6">
        <v>71382.350000000006</v>
      </c>
      <c r="E502" s="6">
        <v>23556.18</v>
      </c>
      <c r="F502" s="6">
        <v>23556.17</v>
      </c>
    </row>
    <row r="503" spans="1:6" x14ac:dyDescent="0.25">
      <c r="A503" t="str">
        <f>"067611"</f>
        <v>067611</v>
      </c>
      <c r="B503" t="s">
        <v>396</v>
      </c>
      <c r="C503">
        <v>833</v>
      </c>
      <c r="D503" s="6">
        <v>356056.87</v>
      </c>
      <c r="E503" s="6">
        <v>117498.77</v>
      </c>
      <c r="F503" s="6">
        <v>117498.76</v>
      </c>
    </row>
    <row r="504" spans="1:6" x14ac:dyDescent="0.25">
      <c r="A504" t="str">
        <f>"067629"</f>
        <v>067629</v>
      </c>
      <c r="B504" t="s">
        <v>397</v>
      </c>
      <c r="C504">
        <v>450</v>
      </c>
      <c r="D504" s="6">
        <v>192347.65</v>
      </c>
      <c r="E504" s="6">
        <v>63474.720000000001</v>
      </c>
      <c r="F504" s="6">
        <v>63474.729999999996</v>
      </c>
    </row>
    <row r="505" spans="1:6" x14ac:dyDescent="0.25">
      <c r="A505" t="str">
        <f>"067637"</f>
        <v>067637</v>
      </c>
      <c r="B505" t="s">
        <v>398</v>
      </c>
      <c r="C505">
        <v>440</v>
      </c>
      <c r="D505" s="6">
        <v>188073.26</v>
      </c>
      <c r="E505" s="6">
        <v>62064.18</v>
      </c>
      <c r="F505" s="6">
        <v>62064.170000000006</v>
      </c>
    </row>
    <row r="506" spans="1:6" x14ac:dyDescent="0.25">
      <c r="A506" t="str">
        <f>"068031"</f>
        <v>068031</v>
      </c>
      <c r="B506" t="s">
        <v>399</v>
      </c>
      <c r="C506">
        <v>215</v>
      </c>
      <c r="D506" s="6">
        <v>91899.43</v>
      </c>
      <c r="E506" s="6">
        <v>30326.81</v>
      </c>
      <c r="F506" s="6">
        <v>30326.81</v>
      </c>
    </row>
    <row r="507" spans="1:6" x14ac:dyDescent="0.25">
      <c r="A507" t="str">
        <f>"068056"</f>
        <v>068056</v>
      </c>
      <c r="B507" t="s">
        <v>400</v>
      </c>
      <c r="C507">
        <v>393</v>
      </c>
      <c r="D507" s="6">
        <v>167983.61</v>
      </c>
      <c r="E507" s="6">
        <v>55434.59</v>
      </c>
      <c r="F507" s="6">
        <v>55434.59</v>
      </c>
    </row>
    <row r="508" spans="1:6" x14ac:dyDescent="0.25">
      <c r="A508" t="str">
        <f>"068189"</f>
        <v>068189</v>
      </c>
      <c r="B508" t="s">
        <v>401</v>
      </c>
      <c r="C508">
        <v>131</v>
      </c>
      <c r="D508" s="6">
        <v>55994.54</v>
      </c>
      <c r="E508" s="6">
        <v>18478.2</v>
      </c>
      <c r="F508" s="6">
        <v>18478.2</v>
      </c>
    </row>
    <row r="509" spans="1:6" x14ac:dyDescent="0.25">
      <c r="A509" t="str">
        <f>"068205"</f>
        <v>068205</v>
      </c>
      <c r="B509" t="s">
        <v>402</v>
      </c>
      <c r="C509">
        <v>288</v>
      </c>
      <c r="D509" s="6">
        <v>123102.5</v>
      </c>
      <c r="E509" s="6">
        <v>40623.83</v>
      </c>
      <c r="F509" s="6">
        <v>40623.819999999992</v>
      </c>
    </row>
    <row r="510" spans="1:6" x14ac:dyDescent="0.25">
      <c r="A510" t="str">
        <f>"068338"</f>
        <v>068338</v>
      </c>
      <c r="B510" t="s">
        <v>403</v>
      </c>
      <c r="C510">
        <v>148</v>
      </c>
      <c r="D510" s="6">
        <v>63261</v>
      </c>
      <c r="E510" s="6">
        <v>20876.13</v>
      </c>
      <c r="F510" s="6">
        <v>20876.13</v>
      </c>
    </row>
    <row r="511" spans="1:6" x14ac:dyDescent="0.25">
      <c r="A511" t="str">
        <f>"068403"</f>
        <v>068403</v>
      </c>
      <c r="B511" t="s">
        <v>404</v>
      </c>
      <c r="C511">
        <v>708</v>
      </c>
      <c r="D511" s="6">
        <v>302626.96999999997</v>
      </c>
      <c r="E511" s="6">
        <v>99866.9</v>
      </c>
      <c r="F511" s="6">
        <v>99866.9</v>
      </c>
    </row>
    <row r="512" spans="1:6" x14ac:dyDescent="0.25">
      <c r="A512" t="str">
        <f>"069906"</f>
        <v>069906</v>
      </c>
      <c r="B512" t="s">
        <v>405</v>
      </c>
      <c r="C512">
        <v>29</v>
      </c>
      <c r="D512" s="6">
        <v>12395.74</v>
      </c>
      <c r="E512" s="6">
        <v>4090.59</v>
      </c>
      <c r="F512" s="6">
        <v>4090.5999999999995</v>
      </c>
    </row>
    <row r="513" spans="1:6" x14ac:dyDescent="0.25">
      <c r="A513" t="str">
        <f>"069914"</f>
        <v>069914</v>
      </c>
      <c r="B513" t="s">
        <v>406</v>
      </c>
      <c r="C513">
        <v>84</v>
      </c>
      <c r="D513" s="6">
        <v>35904.89</v>
      </c>
      <c r="E513" s="6">
        <v>11848.61</v>
      </c>
      <c r="F513" s="6">
        <v>11848.619999999999</v>
      </c>
    </row>
    <row r="514" spans="1:6" x14ac:dyDescent="0.25">
      <c r="A514" t="str">
        <f>"070136"</f>
        <v>070136</v>
      </c>
      <c r="B514" t="s">
        <v>407</v>
      </c>
      <c r="C514">
        <v>103</v>
      </c>
      <c r="D514" s="6">
        <v>44026.239999999998</v>
      </c>
      <c r="E514" s="6">
        <v>14528.66</v>
      </c>
      <c r="F514" s="6">
        <v>14528.66</v>
      </c>
    </row>
    <row r="515" spans="1:6" x14ac:dyDescent="0.25">
      <c r="A515" t="str">
        <f>"070151"</f>
        <v>070151</v>
      </c>
      <c r="B515" t="s">
        <v>408</v>
      </c>
      <c r="C515">
        <v>91</v>
      </c>
      <c r="D515" s="6">
        <v>38896.97</v>
      </c>
      <c r="E515" s="6">
        <v>12836</v>
      </c>
      <c r="F515" s="6">
        <v>12836</v>
      </c>
    </row>
    <row r="516" spans="1:6" x14ac:dyDescent="0.25">
      <c r="A516" t="str">
        <f>"070169"</f>
        <v>070169</v>
      </c>
      <c r="B516" t="s">
        <v>409</v>
      </c>
      <c r="C516">
        <v>59</v>
      </c>
      <c r="D516" s="6">
        <v>23794.48</v>
      </c>
      <c r="E516" s="6">
        <v>7852.18</v>
      </c>
      <c r="F516" s="6">
        <v>7852.18</v>
      </c>
    </row>
    <row r="517" spans="1:6" x14ac:dyDescent="0.25">
      <c r="A517" t="str">
        <f>"070243"</f>
        <v>070243</v>
      </c>
      <c r="B517" t="s">
        <v>410</v>
      </c>
      <c r="C517">
        <v>11</v>
      </c>
      <c r="D517" s="6">
        <v>4701.83</v>
      </c>
      <c r="E517" s="6">
        <v>1551.6</v>
      </c>
      <c r="F517" s="6">
        <v>1551.6100000000001</v>
      </c>
    </row>
    <row r="518" spans="1:6" x14ac:dyDescent="0.25">
      <c r="A518" t="str">
        <f>"070250"</f>
        <v>070250</v>
      </c>
      <c r="B518" t="s">
        <v>411</v>
      </c>
      <c r="C518">
        <v>8</v>
      </c>
      <c r="D518" s="6">
        <v>3419.51</v>
      </c>
      <c r="E518" s="6">
        <v>1128.44</v>
      </c>
      <c r="F518" s="6">
        <v>1128.44</v>
      </c>
    </row>
    <row r="519" spans="1:6" x14ac:dyDescent="0.25">
      <c r="A519" t="str">
        <f>"070276"</f>
        <v>070276</v>
      </c>
      <c r="B519" t="s">
        <v>412</v>
      </c>
      <c r="C519">
        <v>65</v>
      </c>
      <c r="D519" s="6">
        <v>27783.55</v>
      </c>
      <c r="E519" s="6">
        <v>9168.57</v>
      </c>
      <c r="F519" s="6">
        <v>9168.57</v>
      </c>
    </row>
    <row r="520" spans="1:6" x14ac:dyDescent="0.25">
      <c r="A520" t="str">
        <f>"070409"</f>
        <v>070409</v>
      </c>
      <c r="B520" t="s">
        <v>413</v>
      </c>
      <c r="C520">
        <v>466</v>
      </c>
      <c r="D520" s="6">
        <v>199186.68</v>
      </c>
      <c r="E520" s="6">
        <v>65731.600000000006</v>
      </c>
      <c r="F520" s="6">
        <v>65731.609999999986</v>
      </c>
    </row>
    <row r="521" spans="1:6" x14ac:dyDescent="0.25">
      <c r="A521" t="str">
        <f>"070656"</f>
        <v>070656</v>
      </c>
      <c r="B521" t="s">
        <v>414</v>
      </c>
      <c r="C521">
        <v>100</v>
      </c>
      <c r="D521" s="6">
        <v>38840.35</v>
      </c>
      <c r="E521" s="6">
        <v>12817.32</v>
      </c>
      <c r="F521" s="6">
        <v>12817.310000000001</v>
      </c>
    </row>
    <row r="522" spans="1:6" x14ac:dyDescent="0.25">
      <c r="A522" t="str">
        <f>"070664"</f>
        <v>070664</v>
      </c>
      <c r="B522" t="s">
        <v>415</v>
      </c>
      <c r="C522">
        <v>292</v>
      </c>
      <c r="D522" s="6">
        <v>124812.25</v>
      </c>
      <c r="E522" s="6">
        <v>41188.04</v>
      </c>
      <c r="F522" s="6">
        <v>41188.049999999996</v>
      </c>
    </row>
    <row r="523" spans="1:6" x14ac:dyDescent="0.25">
      <c r="A523" t="str">
        <f>"070748"</f>
        <v>070748</v>
      </c>
      <c r="B523" t="s">
        <v>416</v>
      </c>
      <c r="C523">
        <v>234</v>
      </c>
      <c r="D523" s="6">
        <v>100020.78</v>
      </c>
      <c r="E523" s="6">
        <v>33006.86</v>
      </c>
      <c r="F523" s="6">
        <v>33006.850000000006</v>
      </c>
    </row>
    <row r="524" spans="1:6" x14ac:dyDescent="0.25">
      <c r="A524" t="str">
        <f>"070771"</f>
        <v>070771</v>
      </c>
      <c r="B524" t="s">
        <v>417</v>
      </c>
      <c r="C524">
        <v>248</v>
      </c>
      <c r="D524" s="6">
        <v>106004.93</v>
      </c>
      <c r="E524" s="6">
        <v>34981.629999999997</v>
      </c>
      <c r="F524" s="6">
        <v>34981.620000000003</v>
      </c>
    </row>
    <row r="525" spans="1:6" x14ac:dyDescent="0.25">
      <c r="A525" t="str">
        <f>"070789"</f>
        <v>070789</v>
      </c>
      <c r="B525" t="s">
        <v>418</v>
      </c>
      <c r="C525">
        <v>108</v>
      </c>
      <c r="D525" s="6">
        <v>46163.44</v>
      </c>
      <c r="E525" s="6">
        <v>15233.94</v>
      </c>
      <c r="F525" s="6">
        <v>15233.929999999998</v>
      </c>
    </row>
    <row r="526" spans="1:6" x14ac:dyDescent="0.25">
      <c r="A526" t="str">
        <f>"070912"</f>
        <v>070912</v>
      </c>
      <c r="B526" t="s">
        <v>419</v>
      </c>
      <c r="C526">
        <v>99</v>
      </c>
      <c r="D526" s="6">
        <v>42316.480000000003</v>
      </c>
      <c r="E526" s="6">
        <v>13964.44</v>
      </c>
      <c r="F526" s="6">
        <v>13964.44</v>
      </c>
    </row>
    <row r="527" spans="1:6" x14ac:dyDescent="0.25">
      <c r="A527" t="str">
        <f>"070961"</f>
        <v>070961</v>
      </c>
      <c r="B527" t="s">
        <v>299</v>
      </c>
      <c r="C527">
        <v>12</v>
      </c>
      <c r="D527" s="6">
        <v>3563.22</v>
      </c>
      <c r="E527" s="6">
        <v>1175.8599999999999</v>
      </c>
      <c r="F527" s="6">
        <v>1175.8700000000001</v>
      </c>
    </row>
    <row r="528" spans="1:6" x14ac:dyDescent="0.25">
      <c r="A528" t="str">
        <f>"070979"</f>
        <v>070979</v>
      </c>
      <c r="B528" t="s">
        <v>420</v>
      </c>
      <c r="C528">
        <v>124</v>
      </c>
      <c r="D528" s="6">
        <v>53002.46</v>
      </c>
      <c r="E528" s="6">
        <v>17490.810000000001</v>
      </c>
      <c r="F528" s="6">
        <v>17490.810000000001</v>
      </c>
    </row>
    <row r="529" spans="1:6" x14ac:dyDescent="0.25">
      <c r="A529" t="str">
        <f>"071001"</f>
        <v>071001</v>
      </c>
      <c r="B529" t="s">
        <v>421</v>
      </c>
      <c r="C529">
        <v>341</v>
      </c>
      <c r="D529" s="6">
        <v>145756.76999999999</v>
      </c>
      <c r="E529" s="6">
        <v>48099.73</v>
      </c>
      <c r="F529" s="6">
        <v>48099.74</v>
      </c>
    </row>
    <row r="530" spans="1:6" x14ac:dyDescent="0.25">
      <c r="A530" t="str">
        <f>"071571"</f>
        <v>071571</v>
      </c>
      <c r="B530" t="s">
        <v>422</v>
      </c>
      <c r="C530">
        <v>188</v>
      </c>
      <c r="D530" s="6">
        <v>80358.570000000007</v>
      </c>
      <c r="E530" s="6">
        <v>26518.33</v>
      </c>
      <c r="F530" s="6">
        <v>26518.33</v>
      </c>
    </row>
    <row r="531" spans="1:6" x14ac:dyDescent="0.25">
      <c r="A531" t="str">
        <f>"081851"</f>
        <v>081851</v>
      </c>
      <c r="B531" t="s">
        <v>423</v>
      </c>
      <c r="C531">
        <v>509</v>
      </c>
      <c r="D531" s="6">
        <v>217566.56</v>
      </c>
      <c r="E531" s="6">
        <v>71796.960000000006</v>
      </c>
      <c r="F531" s="6">
        <v>71796.969999999987</v>
      </c>
    </row>
    <row r="532" spans="1:6" x14ac:dyDescent="0.25">
      <c r="A532" t="str">
        <f>"083295"</f>
        <v>083295</v>
      </c>
      <c r="B532" t="s">
        <v>424</v>
      </c>
      <c r="C532">
        <v>154</v>
      </c>
      <c r="D532" s="6">
        <v>65825.64</v>
      </c>
      <c r="E532" s="6">
        <v>21722.46</v>
      </c>
      <c r="F532" s="6">
        <v>21722.46</v>
      </c>
    </row>
    <row r="533" spans="1:6" x14ac:dyDescent="0.25">
      <c r="A533" t="str">
        <f>"083923"</f>
        <v>083923</v>
      </c>
      <c r="B533" t="s">
        <v>425</v>
      </c>
      <c r="C533">
        <v>128</v>
      </c>
      <c r="D533" s="6">
        <v>54648.89</v>
      </c>
      <c r="E533" s="6">
        <v>18034.13</v>
      </c>
      <c r="F533" s="6">
        <v>18034.139999999996</v>
      </c>
    </row>
    <row r="534" spans="1:6" x14ac:dyDescent="0.25">
      <c r="A534" t="str">
        <f>"084202"</f>
        <v>084202</v>
      </c>
      <c r="B534" t="s">
        <v>426</v>
      </c>
      <c r="C534">
        <v>379</v>
      </c>
      <c r="D534" s="6">
        <v>161999.46</v>
      </c>
      <c r="E534" s="6">
        <v>53459.82</v>
      </c>
      <c r="F534" s="6">
        <v>53459.82</v>
      </c>
    </row>
    <row r="535" spans="1:6" x14ac:dyDescent="0.25">
      <c r="A535" t="str">
        <f>"085688"</f>
        <v>085688</v>
      </c>
      <c r="B535" t="s">
        <v>427</v>
      </c>
      <c r="C535">
        <v>169</v>
      </c>
      <c r="D535" s="6">
        <v>68277.48</v>
      </c>
      <c r="E535" s="6">
        <v>22531.57</v>
      </c>
      <c r="F535" s="6">
        <v>22531.57</v>
      </c>
    </row>
    <row r="536" spans="1:6" x14ac:dyDescent="0.25">
      <c r="A536" t="str">
        <f>"086033"</f>
        <v>086033</v>
      </c>
      <c r="B536" t="s">
        <v>428</v>
      </c>
      <c r="C536">
        <v>148</v>
      </c>
      <c r="D536" s="6">
        <v>63261</v>
      </c>
      <c r="E536" s="6">
        <v>20876.13</v>
      </c>
      <c r="F536" s="6">
        <v>20876.13</v>
      </c>
    </row>
    <row r="537" spans="1:6" x14ac:dyDescent="0.25">
      <c r="A537" t="str">
        <f>"086389"</f>
        <v>086389</v>
      </c>
      <c r="B537" t="s">
        <v>429</v>
      </c>
      <c r="C537">
        <v>149</v>
      </c>
      <c r="D537" s="6">
        <v>63688.44</v>
      </c>
      <c r="E537" s="6">
        <v>21017.19</v>
      </c>
      <c r="F537" s="6">
        <v>21017.180000000004</v>
      </c>
    </row>
    <row r="538" spans="1:6" x14ac:dyDescent="0.25">
      <c r="A538" t="str">
        <f>"086520"</f>
        <v>086520</v>
      </c>
      <c r="B538" t="s">
        <v>430</v>
      </c>
      <c r="C538">
        <v>170</v>
      </c>
      <c r="D538" s="6">
        <v>72664.67</v>
      </c>
      <c r="E538" s="6">
        <v>23979.34</v>
      </c>
      <c r="F538" s="6">
        <v>23979.34</v>
      </c>
    </row>
    <row r="539" spans="1:6" x14ac:dyDescent="0.25">
      <c r="A539" t="str">
        <f>"086546"</f>
        <v>086546</v>
      </c>
      <c r="B539" t="s">
        <v>431</v>
      </c>
      <c r="C539">
        <v>104</v>
      </c>
      <c r="D539" s="6">
        <v>44453.68</v>
      </c>
      <c r="E539" s="6">
        <v>14669.71</v>
      </c>
      <c r="F539" s="6">
        <v>14669.720000000001</v>
      </c>
    </row>
    <row r="540" spans="1:6" x14ac:dyDescent="0.25">
      <c r="A540" t="str">
        <f>"086678"</f>
        <v>086678</v>
      </c>
      <c r="B540" t="s">
        <v>75</v>
      </c>
      <c r="C540">
        <v>505</v>
      </c>
      <c r="D540" s="6">
        <v>215856.81</v>
      </c>
      <c r="E540" s="6">
        <v>71232.75</v>
      </c>
      <c r="F540" s="6">
        <v>71232.739999999991</v>
      </c>
    </row>
    <row r="541" spans="1:6" x14ac:dyDescent="0.25">
      <c r="A541" t="str">
        <f>"087809"</f>
        <v>087809</v>
      </c>
      <c r="B541" t="s">
        <v>432</v>
      </c>
      <c r="C541">
        <v>47</v>
      </c>
      <c r="D541" s="6">
        <v>20089.64</v>
      </c>
      <c r="E541" s="6">
        <v>6629.58</v>
      </c>
      <c r="F541" s="6">
        <v>6629.58</v>
      </c>
    </row>
    <row r="542" spans="1:6" x14ac:dyDescent="0.25">
      <c r="A542" t="str">
        <f>"088062"</f>
        <v>088062</v>
      </c>
      <c r="B542" t="s">
        <v>433</v>
      </c>
      <c r="C542">
        <v>305</v>
      </c>
      <c r="D542" s="6">
        <v>130368.96000000001</v>
      </c>
      <c r="E542" s="6">
        <v>43021.760000000002</v>
      </c>
      <c r="F542" s="6">
        <v>43021.749999999993</v>
      </c>
    </row>
    <row r="543" spans="1:6" x14ac:dyDescent="0.25">
      <c r="A543" t="str">
        <f>"088070"</f>
        <v>088070</v>
      </c>
      <c r="B543" t="s">
        <v>434</v>
      </c>
      <c r="C543">
        <v>283</v>
      </c>
      <c r="D543" s="6">
        <v>120965.3</v>
      </c>
      <c r="E543" s="6">
        <v>39918.550000000003</v>
      </c>
      <c r="F543" s="6">
        <v>39918.550000000003</v>
      </c>
    </row>
    <row r="544" spans="1:6" x14ac:dyDescent="0.25">
      <c r="A544" t="str">
        <f>"088104"</f>
        <v>088104</v>
      </c>
      <c r="B544" t="s">
        <v>435</v>
      </c>
      <c r="C544">
        <v>26</v>
      </c>
      <c r="D544" s="6">
        <v>11113.42</v>
      </c>
      <c r="E544" s="6">
        <v>3667.43</v>
      </c>
      <c r="F544" s="6">
        <v>3667.43</v>
      </c>
    </row>
    <row r="545" spans="1:6" x14ac:dyDescent="0.25">
      <c r="A545" t="str">
        <f>"088112"</f>
        <v>088112</v>
      </c>
      <c r="B545" t="s">
        <v>436</v>
      </c>
      <c r="C545">
        <v>339</v>
      </c>
      <c r="D545" s="6">
        <v>144901.9</v>
      </c>
      <c r="E545" s="6">
        <v>47817.63</v>
      </c>
      <c r="F545" s="6">
        <v>47817.62</v>
      </c>
    </row>
    <row r="546" spans="1:6" x14ac:dyDescent="0.25">
      <c r="A546" t="str">
        <f>"088377"</f>
        <v>088377</v>
      </c>
      <c r="B546" t="s">
        <v>437</v>
      </c>
      <c r="C546">
        <v>10</v>
      </c>
      <c r="D546" s="6">
        <v>4274.3900000000003</v>
      </c>
      <c r="E546" s="6">
        <v>1410.55</v>
      </c>
      <c r="F546" s="6">
        <v>1410.55</v>
      </c>
    </row>
    <row r="547" spans="1:6" x14ac:dyDescent="0.25">
      <c r="A547" t="str">
        <f>"089409"</f>
        <v>089409</v>
      </c>
      <c r="B547" t="s">
        <v>438</v>
      </c>
      <c r="C547">
        <v>62</v>
      </c>
      <c r="D547" s="6">
        <v>26501.23</v>
      </c>
      <c r="E547" s="6">
        <v>8745.41</v>
      </c>
      <c r="F547" s="6">
        <v>8745.4000000000015</v>
      </c>
    </row>
    <row r="548" spans="1:6" x14ac:dyDescent="0.25">
      <c r="A548" t="str">
        <f>"089722"</f>
        <v>089722</v>
      </c>
      <c r="B548" t="s">
        <v>439</v>
      </c>
      <c r="C548">
        <v>517</v>
      </c>
      <c r="D548" s="6">
        <v>220986.08</v>
      </c>
      <c r="E548" s="6">
        <v>72925.41</v>
      </c>
      <c r="F548" s="6">
        <v>72925.399999999994</v>
      </c>
    </row>
    <row r="549" spans="1:6" x14ac:dyDescent="0.25">
      <c r="A549" t="str">
        <f>"089979"</f>
        <v>089979</v>
      </c>
      <c r="B549" t="s">
        <v>440</v>
      </c>
      <c r="C549">
        <v>203</v>
      </c>
      <c r="D549" s="6">
        <v>86770.16</v>
      </c>
      <c r="E549" s="6">
        <v>28634.15</v>
      </c>
      <c r="F549" s="6">
        <v>28634.159999999996</v>
      </c>
    </row>
    <row r="550" spans="1:6" x14ac:dyDescent="0.25">
      <c r="A550" t="str">
        <f>"090209"</f>
        <v>090209</v>
      </c>
      <c r="B550" t="s">
        <v>441</v>
      </c>
      <c r="C550">
        <v>603</v>
      </c>
      <c r="D550" s="6">
        <v>257745.85</v>
      </c>
      <c r="E550" s="6">
        <v>85056.13</v>
      </c>
      <c r="F550" s="6">
        <v>85056.13</v>
      </c>
    </row>
    <row r="551" spans="1:6" x14ac:dyDescent="0.25">
      <c r="A551" t="str">
        <f>"090233"</f>
        <v>090233</v>
      </c>
      <c r="B551" t="s">
        <v>442</v>
      </c>
      <c r="C551">
        <v>303</v>
      </c>
      <c r="D551" s="6">
        <v>118713.93</v>
      </c>
      <c r="E551" s="6">
        <v>39175.599999999999</v>
      </c>
      <c r="F551" s="6">
        <v>39175.590000000004</v>
      </c>
    </row>
    <row r="552" spans="1:6" x14ac:dyDescent="0.25">
      <c r="A552" t="str">
        <f>"090274"</f>
        <v>090274</v>
      </c>
      <c r="B552" t="s">
        <v>443</v>
      </c>
      <c r="C552">
        <v>471</v>
      </c>
      <c r="D552" s="6">
        <v>199978.2</v>
      </c>
      <c r="E552" s="6">
        <v>65992.81</v>
      </c>
      <c r="F552" s="6">
        <v>65992.799999999988</v>
      </c>
    </row>
    <row r="553" spans="1:6" x14ac:dyDescent="0.25">
      <c r="A553" t="str">
        <f>"090290"</f>
        <v>090290</v>
      </c>
      <c r="B553" t="s">
        <v>444</v>
      </c>
      <c r="C553">
        <v>281</v>
      </c>
      <c r="D553" s="6">
        <v>120110.42</v>
      </c>
      <c r="E553" s="6">
        <v>39636.44</v>
      </c>
      <c r="F553" s="6">
        <v>39636.44</v>
      </c>
    </row>
    <row r="554" spans="1:6" x14ac:dyDescent="0.25">
      <c r="A554" t="str">
        <f>"090456"</f>
        <v>090456</v>
      </c>
      <c r="B554" t="s">
        <v>445</v>
      </c>
      <c r="C554">
        <v>127</v>
      </c>
      <c r="D554" s="6">
        <v>54284.78</v>
      </c>
      <c r="E554" s="6">
        <v>17913.98</v>
      </c>
      <c r="F554" s="6">
        <v>17913.969999999998</v>
      </c>
    </row>
    <row r="555" spans="1:6" x14ac:dyDescent="0.25">
      <c r="A555" t="str">
        <f>"090464"</f>
        <v>090464</v>
      </c>
      <c r="B555" t="s">
        <v>446</v>
      </c>
      <c r="C555">
        <v>158</v>
      </c>
      <c r="D555" s="6">
        <v>67535.399999999994</v>
      </c>
      <c r="E555" s="6">
        <v>22286.68</v>
      </c>
      <c r="F555" s="6">
        <v>22286.68</v>
      </c>
    </row>
    <row r="556" spans="1:6" x14ac:dyDescent="0.25">
      <c r="A556" t="str">
        <f>"090472"</f>
        <v>090472</v>
      </c>
      <c r="B556" t="s">
        <v>447</v>
      </c>
      <c r="C556">
        <v>134</v>
      </c>
      <c r="D556" s="6">
        <v>57276.86</v>
      </c>
      <c r="E556" s="6">
        <v>18901.36</v>
      </c>
      <c r="F556" s="6">
        <v>18901.370000000003</v>
      </c>
    </row>
    <row r="557" spans="1:6" x14ac:dyDescent="0.25">
      <c r="A557" t="str">
        <f>"090746"</f>
        <v>090746</v>
      </c>
      <c r="B557" t="s">
        <v>448</v>
      </c>
      <c r="C557">
        <v>112</v>
      </c>
      <c r="D557" s="6">
        <v>47873.19</v>
      </c>
      <c r="E557" s="6">
        <v>15798.15</v>
      </c>
      <c r="F557" s="6">
        <v>15798.160000000002</v>
      </c>
    </row>
    <row r="558" spans="1:6" x14ac:dyDescent="0.25">
      <c r="A558" t="str">
        <f>"091314"</f>
        <v>091314</v>
      </c>
      <c r="B558" t="s">
        <v>449</v>
      </c>
      <c r="C558">
        <v>27</v>
      </c>
      <c r="D558" s="6">
        <v>11540.86</v>
      </c>
      <c r="E558" s="6">
        <v>3808.48</v>
      </c>
      <c r="F558" s="6">
        <v>3808.4900000000002</v>
      </c>
    </row>
    <row r="559" spans="1:6" x14ac:dyDescent="0.25">
      <c r="A559" t="str">
        <f>"091777"</f>
        <v>091777</v>
      </c>
      <c r="B559" t="s">
        <v>450</v>
      </c>
      <c r="C559">
        <v>202</v>
      </c>
      <c r="D559" s="6">
        <v>86342.720000000001</v>
      </c>
      <c r="E559" s="6">
        <v>28493.1</v>
      </c>
      <c r="F559" s="6">
        <v>28493.1</v>
      </c>
    </row>
    <row r="560" spans="1:6" x14ac:dyDescent="0.25">
      <c r="A560" t="str">
        <f>"092247"</f>
        <v>092247</v>
      </c>
      <c r="B560" t="s">
        <v>451</v>
      </c>
      <c r="C560">
        <v>100</v>
      </c>
      <c r="D560" s="6">
        <v>42743.92</v>
      </c>
      <c r="E560" s="6">
        <v>14105.49</v>
      </c>
      <c r="F560" s="6">
        <v>14105.500000000002</v>
      </c>
    </row>
    <row r="561" spans="1:6" x14ac:dyDescent="0.25">
      <c r="A561" t="str">
        <f>"093021"</f>
        <v>093021</v>
      </c>
      <c r="B561" t="s">
        <v>452</v>
      </c>
      <c r="C561">
        <v>45</v>
      </c>
      <c r="D561" s="6">
        <v>19234.759999999998</v>
      </c>
      <c r="E561" s="6">
        <v>6347.47</v>
      </c>
      <c r="F561" s="6">
        <v>6347.47</v>
      </c>
    </row>
    <row r="562" spans="1:6" x14ac:dyDescent="0.25">
      <c r="A562" t="str">
        <f>"093039"</f>
        <v>093039</v>
      </c>
      <c r="B562" t="s">
        <v>453</v>
      </c>
      <c r="C562">
        <v>98</v>
      </c>
      <c r="D562" s="6">
        <v>41889.040000000001</v>
      </c>
      <c r="E562" s="6">
        <v>13823.38</v>
      </c>
      <c r="F562" s="6">
        <v>13823.390000000001</v>
      </c>
    </row>
    <row r="563" spans="1:6" x14ac:dyDescent="0.25">
      <c r="A563" t="str">
        <f>"093757"</f>
        <v>093757</v>
      </c>
      <c r="B563" t="s">
        <v>454</v>
      </c>
      <c r="C563">
        <v>384</v>
      </c>
      <c r="D563" s="6">
        <v>164136.66</v>
      </c>
      <c r="E563" s="6">
        <v>54165.1</v>
      </c>
      <c r="F563" s="6">
        <v>54165.1</v>
      </c>
    </row>
    <row r="564" spans="1:6" x14ac:dyDescent="0.25">
      <c r="A564" t="str">
        <f>"093864"</f>
        <v>093864</v>
      </c>
      <c r="B564" t="s">
        <v>455</v>
      </c>
      <c r="C564">
        <v>12</v>
      </c>
      <c r="D564" s="6">
        <v>5129.2700000000004</v>
      </c>
      <c r="E564" s="6">
        <v>1692.66</v>
      </c>
      <c r="F564" s="6">
        <v>1692.66</v>
      </c>
    </row>
    <row r="565" spans="1:6" x14ac:dyDescent="0.25">
      <c r="A565" t="str">
        <f>"094250"</f>
        <v>094250</v>
      </c>
      <c r="B565" t="s">
        <v>456</v>
      </c>
      <c r="C565">
        <v>112</v>
      </c>
      <c r="D565" s="6">
        <v>47873.19</v>
      </c>
      <c r="E565" s="6">
        <v>15798.15</v>
      </c>
      <c r="F565" s="6">
        <v>15798.160000000002</v>
      </c>
    </row>
    <row r="566" spans="1:6" x14ac:dyDescent="0.25">
      <c r="A566" t="str">
        <f>"094268"</f>
        <v>094268</v>
      </c>
      <c r="B566" t="s">
        <v>82</v>
      </c>
      <c r="C566">
        <v>115</v>
      </c>
      <c r="D566" s="6">
        <v>49155.51</v>
      </c>
      <c r="E566" s="6">
        <v>16221.32</v>
      </c>
      <c r="F566" s="6">
        <v>16221.32</v>
      </c>
    </row>
    <row r="567" spans="1:6" x14ac:dyDescent="0.25">
      <c r="A567" t="str">
        <f>"094490"</f>
        <v>094490</v>
      </c>
      <c r="B567" t="s">
        <v>457</v>
      </c>
      <c r="C567">
        <v>79</v>
      </c>
      <c r="D567" s="6">
        <v>33767.699999999997</v>
      </c>
      <c r="E567" s="6">
        <v>11143.34</v>
      </c>
      <c r="F567" s="6">
        <v>11143.34</v>
      </c>
    </row>
    <row r="568" spans="1:6" x14ac:dyDescent="0.25">
      <c r="A568" t="str">
        <f>"094565"</f>
        <v>094565</v>
      </c>
      <c r="B568" t="s">
        <v>458</v>
      </c>
      <c r="C568">
        <v>108</v>
      </c>
      <c r="D568" s="6">
        <v>46163.44</v>
      </c>
      <c r="E568" s="6">
        <v>15233.94</v>
      </c>
      <c r="F568" s="6">
        <v>15233.929999999998</v>
      </c>
    </row>
    <row r="569" spans="1:6" x14ac:dyDescent="0.25">
      <c r="A569" t="str">
        <f>"094946"</f>
        <v>094946</v>
      </c>
      <c r="B569" t="s">
        <v>459</v>
      </c>
      <c r="C569">
        <v>35</v>
      </c>
      <c r="D569" s="6">
        <v>14960.37</v>
      </c>
      <c r="E569" s="6">
        <v>4936.92</v>
      </c>
      <c r="F569" s="6">
        <v>4936.92</v>
      </c>
    </row>
    <row r="570" spans="1:6" x14ac:dyDescent="0.25">
      <c r="A570" t="str">
        <f>"095158"</f>
        <v>095158</v>
      </c>
      <c r="B570" t="s">
        <v>460</v>
      </c>
      <c r="C570">
        <v>59</v>
      </c>
      <c r="D570" s="6">
        <v>25218.91</v>
      </c>
      <c r="E570" s="6">
        <v>8322.24</v>
      </c>
      <c r="F570" s="6">
        <v>8322.24</v>
      </c>
    </row>
    <row r="571" spans="1:6" x14ac:dyDescent="0.25">
      <c r="A571" t="str">
        <f>"095166"</f>
        <v>095166</v>
      </c>
      <c r="B571" t="s">
        <v>461</v>
      </c>
      <c r="C571">
        <v>170</v>
      </c>
      <c r="D571" s="6">
        <v>72664.67</v>
      </c>
      <c r="E571" s="6">
        <v>23979.34</v>
      </c>
      <c r="F571" s="6">
        <v>23979.34</v>
      </c>
    </row>
    <row r="572" spans="1:6" x14ac:dyDescent="0.25">
      <c r="A572" t="str">
        <f>"095364"</f>
        <v>095364</v>
      </c>
      <c r="B572" t="s">
        <v>462</v>
      </c>
      <c r="C572">
        <v>91</v>
      </c>
      <c r="D572" s="6">
        <v>38896.97</v>
      </c>
      <c r="E572" s="6">
        <v>12836</v>
      </c>
      <c r="F572" s="6">
        <v>12836</v>
      </c>
    </row>
    <row r="573" spans="1:6" x14ac:dyDescent="0.25">
      <c r="A573" t="str">
        <f>"095711"</f>
        <v>095711</v>
      </c>
      <c r="B573" t="s">
        <v>463</v>
      </c>
      <c r="C573">
        <v>142</v>
      </c>
      <c r="D573" s="6">
        <v>60696.37</v>
      </c>
      <c r="E573" s="6">
        <v>20029.8</v>
      </c>
      <c r="F573" s="6">
        <v>20029.8</v>
      </c>
    </row>
    <row r="574" spans="1:6" x14ac:dyDescent="0.25">
      <c r="A574" t="str">
        <f>"096156"</f>
        <v>096156</v>
      </c>
      <c r="B574" t="s">
        <v>464</v>
      </c>
      <c r="C574">
        <v>15</v>
      </c>
      <c r="D574" s="6">
        <v>6411.59</v>
      </c>
      <c r="E574" s="6">
        <v>2115.8200000000002</v>
      </c>
      <c r="F574" s="6">
        <v>2115.8299999999995</v>
      </c>
    </row>
    <row r="575" spans="1:6" x14ac:dyDescent="0.25">
      <c r="A575" t="str">
        <f>"096164"</f>
        <v>096164</v>
      </c>
      <c r="B575" t="s">
        <v>465</v>
      </c>
      <c r="C575">
        <v>26</v>
      </c>
      <c r="D575" s="6">
        <v>5079.04</v>
      </c>
      <c r="E575" s="6">
        <v>1676.08</v>
      </c>
      <c r="F575" s="6">
        <v>1676.0900000000001</v>
      </c>
    </row>
    <row r="576" spans="1:6" x14ac:dyDescent="0.25">
      <c r="A576" t="str">
        <f>"096172"</f>
        <v>096172</v>
      </c>
      <c r="B576" t="s">
        <v>466</v>
      </c>
      <c r="C576">
        <v>19</v>
      </c>
      <c r="D576" s="6">
        <v>8121.35</v>
      </c>
      <c r="E576" s="6">
        <v>2680.05</v>
      </c>
      <c r="F576" s="6">
        <v>2680.04</v>
      </c>
    </row>
    <row r="577" spans="1:6" x14ac:dyDescent="0.25">
      <c r="A577" t="str">
        <f>"096263"</f>
        <v>096263</v>
      </c>
      <c r="B577" t="s">
        <v>467</v>
      </c>
      <c r="C577">
        <v>11</v>
      </c>
      <c r="D577" s="6">
        <v>4701.83</v>
      </c>
      <c r="E577" s="6">
        <v>1551.6</v>
      </c>
      <c r="F577" s="6">
        <v>1551.6100000000001</v>
      </c>
    </row>
    <row r="578" spans="1:6" x14ac:dyDescent="0.25">
      <c r="A578" t="str">
        <f>"096289"</f>
        <v>096289</v>
      </c>
      <c r="B578" t="s">
        <v>468</v>
      </c>
      <c r="C578">
        <v>27</v>
      </c>
      <c r="D578" s="6">
        <v>8939.81</v>
      </c>
      <c r="E578" s="6">
        <v>2950.14</v>
      </c>
      <c r="F578" s="6">
        <v>2950.1300000000006</v>
      </c>
    </row>
    <row r="579" spans="1:6" x14ac:dyDescent="0.25">
      <c r="A579" t="str">
        <f>"096297"</f>
        <v>096297</v>
      </c>
      <c r="B579" t="s">
        <v>469</v>
      </c>
      <c r="C579">
        <v>582</v>
      </c>
      <c r="D579" s="6">
        <v>248769.63</v>
      </c>
      <c r="E579" s="6">
        <v>82093.98</v>
      </c>
      <c r="F579" s="6">
        <v>82093.98</v>
      </c>
    </row>
    <row r="580" spans="1:6" x14ac:dyDescent="0.25">
      <c r="A580" t="str">
        <f>"096347"</f>
        <v>096347</v>
      </c>
      <c r="B580" t="s">
        <v>470</v>
      </c>
      <c r="C580">
        <v>81</v>
      </c>
      <c r="D580" s="6">
        <v>34622.58</v>
      </c>
      <c r="E580" s="6">
        <v>11425.45</v>
      </c>
      <c r="F580" s="6">
        <v>11425.45</v>
      </c>
    </row>
    <row r="581" spans="1:6" x14ac:dyDescent="0.25">
      <c r="A581" t="str">
        <f>"096693"</f>
        <v>096693</v>
      </c>
      <c r="B581" t="s">
        <v>471</v>
      </c>
      <c r="C581">
        <v>139</v>
      </c>
      <c r="D581" s="6">
        <v>59414.05</v>
      </c>
      <c r="E581" s="6">
        <v>19606.64</v>
      </c>
      <c r="F581" s="6">
        <v>19606.629999999997</v>
      </c>
    </row>
    <row r="582" spans="1:6" x14ac:dyDescent="0.25">
      <c r="A582" t="str">
        <f>"096719"</f>
        <v>096719</v>
      </c>
      <c r="B582" t="s">
        <v>472</v>
      </c>
      <c r="C582">
        <v>587</v>
      </c>
      <c r="D582" s="6">
        <v>250906.82</v>
      </c>
      <c r="E582" s="6">
        <v>82799.25</v>
      </c>
      <c r="F582" s="6">
        <v>82799.25</v>
      </c>
    </row>
    <row r="583" spans="1:6" x14ac:dyDescent="0.25">
      <c r="A583" t="str">
        <f>"096909"</f>
        <v>096909</v>
      </c>
      <c r="B583" t="s">
        <v>473</v>
      </c>
      <c r="C583">
        <v>70</v>
      </c>
      <c r="D583" s="6">
        <v>29920.75</v>
      </c>
      <c r="E583" s="6">
        <v>9873.85</v>
      </c>
      <c r="F583" s="6">
        <v>9873.85</v>
      </c>
    </row>
    <row r="584" spans="1:6" x14ac:dyDescent="0.25">
      <c r="A584" t="str">
        <f>"096966"</f>
        <v>096966</v>
      </c>
      <c r="B584" t="s">
        <v>474</v>
      </c>
      <c r="C584">
        <v>180</v>
      </c>
      <c r="D584" s="6">
        <v>76820.19</v>
      </c>
      <c r="E584" s="6">
        <v>25350.66</v>
      </c>
      <c r="F584" s="6">
        <v>25350.670000000002</v>
      </c>
    </row>
    <row r="585" spans="1:6" x14ac:dyDescent="0.25">
      <c r="A585" t="str">
        <f>"096974"</f>
        <v>096974</v>
      </c>
      <c r="B585" t="s">
        <v>475</v>
      </c>
      <c r="C585">
        <v>6</v>
      </c>
      <c r="D585" s="6">
        <v>2564.64</v>
      </c>
      <c r="E585" s="6">
        <v>846.33</v>
      </c>
      <c r="F585" s="6">
        <v>846.33</v>
      </c>
    </row>
    <row r="586" spans="1:6" x14ac:dyDescent="0.25">
      <c r="A586" t="str">
        <f>"097279"</f>
        <v>097279</v>
      </c>
      <c r="B586" t="s">
        <v>476</v>
      </c>
      <c r="C586">
        <v>124</v>
      </c>
      <c r="D586" s="6">
        <v>53002.46</v>
      </c>
      <c r="E586" s="6">
        <v>17490.810000000001</v>
      </c>
      <c r="F586" s="6">
        <v>17490.810000000001</v>
      </c>
    </row>
    <row r="587" spans="1:6" x14ac:dyDescent="0.25">
      <c r="A587" t="str">
        <f>"097527"</f>
        <v>097527</v>
      </c>
      <c r="B587" t="s">
        <v>477</v>
      </c>
      <c r="C587">
        <v>15</v>
      </c>
      <c r="D587" s="6">
        <v>6411.59</v>
      </c>
      <c r="E587" s="6">
        <v>2115.8200000000002</v>
      </c>
      <c r="F587" s="6">
        <v>2115.8299999999995</v>
      </c>
    </row>
    <row r="588" spans="1:6" x14ac:dyDescent="0.25">
      <c r="A588" t="str">
        <f>"097683"</f>
        <v>097683</v>
      </c>
      <c r="B588" t="s">
        <v>478</v>
      </c>
      <c r="C588">
        <v>211</v>
      </c>
      <c r="D588" s="6">
        <v>90189.68</v>
      </c>
      <c r="E588" s="6">
        <v>29762.59</v>
      </c>
      <c r="F588" s="6">
        <v>29762.600000000002</v>
      </c>
    </row>
    <row r="589" spans="1:6" x14ac:dyDescent="0.25">
      <c r="A589" t="str">
        <f>"097923"</f>
        <v>097923</v>
      </c>
      <c r="B589" t="s">
        <v>479</v>
      </c>
      <c r="C589">
        <v>380</v>
      </c>
      <c r="D589" s="6">
        <v>162426.9</v>
      </c>
      <c r="E589" s="6">
        <v>53600.88</v>
      </c>
      <c r="F589" s="6">
        <v>53600.87</v>
      </c>
    </row>
    <row r="590" spans="1:6" x14ac:dyDescent="0.25">
      <c r="A590" t="str">
        <f>"097931"</f>
        <v>097931</v>
      </c>
      <c r="B590" t="s">
        <v>480</v>
      </c>
      <c r="C590">
        <v>127</v>
      </c>
      <c r="D590" s="6">
        <v>54284.78</v>
      </c>
      <c r="E590" s="6">
        <v>17913.98</v>
      </c>
      <c r="F590" s="6">
        <v>17913.969999999998</v>
      </c>
    </row>
    <row r="591" spans="1:6" x14ac:dyDescent="0.25">
      <c r="A591" t="str">
        <f>"098525"</f>
        <v>098525</v>
      </c>
      <c r="B591" t="s">
        <v>457</v>
      </c>
      <c r="C591">
        <v>36</v>
      </c>
      <c r="D591" s="6">
        <v>15387.81</v>
      </c>
      <c r="E591" s="6">
        <v>5077.9799999999996</v>
      </c>
      <c r="F591" s="6">
        <v>5077.9700000000012</v>
      </c>
    </row>
    <row r="592" spans="1:6" x14ac:dyDescent="0.25">
      <c r="A592" t="str">
        <f>"110031"</f>
        <v>110031</v>
      </c>
      <c r="B592" t="s">
        <v>481</v>
      </c>
      <c r="C592">
        <v>121</v>
      </c>
      <c r="D592" s="6">
        <v>51720.15</v>
      </c>
      <c r="E592" s="6">
        <v>17067.650000000001</v>
      </c>
      <c r="F592" s="6">
        <v>17067.650000000001</v>
      </c>
    </row>
    <row r="593" spans="1:6" x14ac:dyDescent="0.25">
      <c r="A593" t="str">
        <f>"110403"</f>
        <v>110403</v>
      </c>
      <c r="B593" t="s">
        <v>482</v>
      </c>
      <c r="C593">
        <v>52</v>
      </c>
      <c r="D593" s="6">
        <v>22226.84</v>
      </c>
      <c r="E593" s="6">
        <v>7334.86</v>
      </c>
      <c r="F593" s="6">
        <v>7334.8499999999995</v>
      </c>
    </row>
    <row r="594" spans="1:6" x14ac:dyDescent="0.25">
      <c r="A594" t="str">
        <f>"110411"</f>
        <v>110411</v>
      </c>
      <c r="B594" t="s">
        <v>483</v>
      </c>
      <c r="C594">
        <v>148</v>
      </c>
      <c r="D594" s="6">
        <v>62387.88</v>
      </c>
      <c r="E594" s="6">
        <v>20588</v>
      </c>
      <c r="F594" s="6">
        <v>20588</v>
      </c>
    </row>
    <row r="595" spans="1:6" x14ac:dyDescent="0.25">
      <c r="A595" t="str">
        <f>"110619"</f>
        <v>110619</v>
      </c>
      <c r="B595" t="s">
        <v>484</v>
      </c>
      <c r="C595">
        <v>39</v>
      </c>
      <c r="D595" s="6">
        <v>16670.13</v>
      </c>
      <c r="E595" s="6">
        <v>5501.14</v>
      </c>
      <c r="F595" s="6">
        <v>5501.1500000000005</v>
      </c>
    </row>
    <row r="596" spans="1:6" x14ac:dyDescent="0.25">
      <c r="A596" t="str">
        <f>"110684"</f>
        <v>110684</v>
      </c>
      <c r="B596" t="s">
        <v>485</v>
      </c>
      <c r="C596">
        <v>26</v>
      </c>
      <c r="D596" s="6">
        <v>11113.42</v>
      </c>
      <c r="E596" s="6">
        <v>3667.43</v>
      </c>
      <c r="F596" s="6">
        <v>3667.43</v>
      </c>
    </row>
    <row r="597" spans="1:6" x14ac:dyDescent="0.25">
      <c r="A597" t="str">
        <f>"110692"</f>
        <v>110692</v>
      </c>
      <c r="B597" t="s">
        <v>486</v>
      </c>
      <c r="C597">
        <v>55</v>
      </c>
      <c r="D597" s="6">
        <v>23509.16</v>
      </c>
      <c r="E597" s="6">
        <v>7758.02</v>
      </c>
      <c r="F597" s="6">
        <v>7758.0299999999988</v>
      </c>
    </row>
    <row r="598" spans="1:6" x14ac:dyDescent="0.25">
      <c r="A598" t="str">
        <f>"111898"</f>
        <v>111898</v>
      </c>
      <c r="B598" t="s">
        <v>487</v>
      </c>
      <c r="C598">
        <v>409</v>
      </c>
      <c r="D598" s="6">
        <v>174822.64</v>
      </c>
      <c r="E598" s="6">
        <v>57691.47</v>
      </c>
      <c r="F598" s="6">
        <v>57691.47</v>
      </c>
    </row>
    <row r="599" spans="1:6" x14ac:dyDescent="0.25">
      <c r="A599" t="str">
        <f>"112110"</f>
        <v>112110</v>
      </c>
      <c r="B599" t="s">
        <v>488</v>
      </c>
      <c r="C599">
        <v>147</v>
      </c>
      <c r="D599" s="6">
        <v>62833.57</v>
      </c>
      <c r="E599" s="6">
        <v>20735.080000000002</v>
      </c>
      <c r="F599" s="6">
        <v>20735.080000000002</v>
      </c>
    </row>
    <row r="600" spans="1:6" x14ac:dyDescent="0.25">
      <c r="A600" t="str">
        <f>"112227"</f>
        <v>112227</v>
      </c>
      <c r="B600" t="s">
        <v>489</v>
      </c>
      <c r="C600">
        <v>618</v>
      </c>
      <c r="D600" s="6">
        <v>264157.44</v>
      </c>
      <c r="E600" s="6">
        <v>87171.96</v>
      </c>
      <c r="F600" s="6">
        <v>87171.95</v>
      </c>
    </row>
    <row r="601" spans="1:6" x14ac:dyDescent="0.25">
      <c r="A601" t="str">
        <f>"112490"</f>
        <v>112490</v>
      </c>
      <c r="B601" t="s">
        <v>490</v>
      </c>
      <c r="C601">
        <v>132</v>
      </c>
      <c r="D601" s="6">
        <v>56421.98</v>
      </c>
      <c r="E601" s="6">
        <v>18619.25</v>
      </c>
      <c r="F601" s="6">
        <v>18619.260000000002</v>
      </c>
    </row>
    <row r="602" spans="1:6" x14ac:dyDescent="0.25">
      <c r="A602" t="str">
        <f>"112508"</f>
        <v>112508</v>
      </c>
      <c r="B602" t="s">
        <v>491</v>
      </c>
      <c r="C602">
        <v>85</v>
      </c>
      <c r="D602" s="6">
        <v>36332.33</v>
      </c>
      <c r="E602" s="6">
        <v>11989.67</v>
      </c>
      <c r="F602" s="6">
        <v>11989.67</v>
      </c>
    </row>
    <row r="603" spans="1:6" x14ac:dyDescent="0.25">
      <c r="A603" t="str">
        <f>"112516"</f>
        <v>112516</v>
      </c>
      <c r="B603" t="s">
        <v>492</v>
      </c>
      <c r="C603">
        <v>17</v>
      </c>
      <c r="D603" s="6">
        <v>7266.47</v>
      </c>
      <c r="E603" s="6">
        <v>2397.94</v>
      </c>
      <c r="F603" s="6">
        <v>2397.9299999999998</v>
      </c>
    </row>
    <row r="604" spans="1:6" x14ac:dyDescent="0.25">
      <c r="A604" t="str">
        <f>"112680"</f>
        <v>112680</v>
      </c>
      <c r="B604" t="s">
        <v>493</v>
      </c>
      <c r="C604">
        <v>4</v>
      </c>
      <c r="D604" s="6">
        <v>1709.76</v>
      </c>
      <c r="E604" s="6">
        <v>564.22</v>
      </c>
      <c r="F604" s="6">
        <v>564.22</v>
      </c>
    </row>
    <row r="605" spans="1:6" x14ac:dyDescent="0.25">
      <c r="A605" t="str">
        <f>"113050"</f>
        <v>113050</v>
      </c>
      <c r="B605" t="s">
        <v>494</v>
      </c>
      <c r="C605">
        <v>103</v>
      </c>
      <c r="D605" s="6">
        <v>44026.239999999998</v>
      </c>
      <c r="E605" s="6">
        <v>14528.66</v>
      </c>
      <c r="F605" s="6">
        <v>14528.66</v>
      </c>
    </row>
    <row r="606" spans="1:6" x14ac:dyDescent="0.25">
      <c r="A606" t="str">
        <f>"113522"</f>
        <v>113522</v>
      </c>
      <c r="B606" t="s">
        <v>495</v>
      </c>
      <c r="C606">
        <v>139</v>
      </c>
      <c r="D606" s="6">
        <v>59414.05</v>
      </c>
      <c r="E606" s="6">
        <v>19606.64</v>
      </c>
      <c r="F606" s="6">
        <v>19606.629999999997</v>
      </c>
    </row>
    <row r="607" spans="1:6" x14ac:dyDescent="0.25">
      <c r="A607" t="str">
        <f>"114751"</f>
        <v>114751</v>
      </c>
      <c r="B607" t="s">
        <v>496</v>
      </c>
      <c r="C607">
        <v>20</v>
      </c>
      <c r="D607" s="6">
        <v>8548.7800000000007</v>
      </c>
      <c r="E607" s="6">
        <v>2821.1</v>
      </c>
      <c r="F607" s="6">
        <v>2821.0899999999997</v>
      </c>
    </row>
    <row r="608" spans="1:6" x14ac:dyDescent="0.25">
      <c r="A608" t="str">
        <f>"114777"</f>
        <v>114777</v>
      </c>
      <c r="B608" t="s">
        <v>497</v>
      </c>
      <c r="C608">
        <v>15</v>
      </c>
      <c r="D608" s="6">
        <v>6411.59</v>
      </c>
      <c r="E608" s="6">
        <v>2115.8200000000002</v>
      </c>
      <c r="F608" s="6">
        <v>2115.8299999999995</v>
      </c>
    </row>
    <row r="609" spans="1:6" x14ac:dyDescent="0.25">
      <c r="A609" t="str">
        <f>"114785"</f>
        <v>114785</v>
      </c>
      <c r="B609" t="s">
        <v>498</v>
      </c>
      <c r="C609">
        <v>7</v>
      </c>
      <c r="D609" s="6">
        <v>2992.07</v>
      </c>
      <c r="E609" s="6">
        <v>987.38</v>
      </c>
      <c r="F609" s="6">
        <v>987.39</v>
      </c>
    </row>
    <row r="610" spans="1:6" x14ac:dyDescent="0.25">
      <c r="A610" t="str">
        <f>"115535"</f>
        <v>115535</v>
      </c>
      <c r="B610" t="s">
        <v>499</v>
      </c>
      <c r="C610">
        <v>178</v>
      </c>
      <c r="D610" s="6">
        <v>75511.259999999995</v>
      </c>
      <c r="E610" s="6">
        <v>24918.720000000001</v>
      </c>
      <c r="F610" s="6">
        <v>24918.71</v>
      </c>
    </row>
    <row r="611" spans="1:6" x14ac:dyDescent="0.25">
      <c r="A611" t="str">
        <f>"116616"</f>
        <v>116616</v>
      </c>
      <c r="B611" t="s">
        <v>500</v>
      </c>
      <c r="C611">
        <v>5</v>
      </c>
      <c r="D611" s="6">
        <v>2137.1999999999998</v>
      </c>
      <c r="E611" s="6">
        <v>705.28</v>
      </c>
      <c r="F611" s="6">
        <v>705.27</v>
      </c>
    </row>
    <row r="612" spans="1:6" x14ac:dyDescent="0.25">
      <c r="A612" t="str">
        <f>"116624"</f>
        <v>116624</v>
      </c>
      <c r="B612" t="s">
        <v>501</v>
      </c>
      <c r="C612">
        <v>12</v>
      </c>
      <c r="D612" s="6">
        <v>5129.2700000000004</v>
      </c>
      <c r="E612" s="6">
        <v>1692.66</v>
      </c>
      <c r="F612" s="6">
        <v>1692.66</v>
      </c>
    </row>
    <row r="613" spans="1:6" x14ac:dyDescent="0.25">
      <c r="A613" t="str">
        <f>"118216"</f>
        <v>118216</v>
      </c>
      <c r="B613" t="s">
        <v>502</v>
      </c>
      <c r="C613">
        <v>216</v>
      </c>
      <c r="D613" s="6">
        <v>92326.87</v>
      </c>
      <c r="E613" s="6">
        <v>30467.87</v>
      </c>
      <c r="F613" s="6">
        <v>30467.860000000004</v>
      </c>
    </row>
    <row r="614" spans="1:6" x14ac:dyDescent="0.25">
      <c r="A614" t="str">
        <f>"119313"</f>
        <v>119313</v>
      </c>
      <c r="B614" t="s">
        <v>503</v>
      </c>
      <c r="C614">
        <v>54</v>
      </c>
      <c r="D614" s="6">
        <v>20803.14</v>
      </c>
      <c r="E614" s="6">
        <v>6865.04</v>
      </c>
      <c r="F614" s="6">
        <v>6865.03</v>
      </c>
    </row>
    <row r="615" spans="1:6" x14ac:dyDescent="0.25">
      <c r="A615" t="str">
        <f>"119339"</f>
        <v>119339</v>
      </c>
      <c r="B615" t="s">
        <v>504</v>
      </c>
      <c r="C615">
        <v>12</v>
      </c>
      <c r="D615" s="6">
        <v>5129.2700000000004</v>
      </c>
      <c r="E615" s="6">
        <v>1692.66</v>
      </c>
      <c r="F615" s="6">
        <v>1692.66</v>
      </c>
    </row>
    <row r="616" spans="1:6" x14ac:dyDescent="0.25">
      <c r="A616" t="str">
        <f>"119917"</f>
        <v>119917</v>
      </c>
      <c r="B616" t="s">
        <v>505</v>
      </c>
      <c r="C616">
        <v>4</v>
      </c>
      <c r="D616" s="6">
        <v>1709.76</v>
      </c>
      <c r="E616" s="6">
        <v>564.22</v>
      </c>
      <c r="F616" s="6">
        <v>564.22</v>
      </c>
    </row>
    <row r="617" spans="1:6" x14ac:dyDescent="0.25">
      <c r="A617" t="str">
        <f>"119990"</f>
        <v>119990</v>
      </c>
      <c r="B617" t="s">
        <v>506</v>
      </c>
      <c r="C617">
        <v>59</v>
      </c>
      <c r="D617" s="6">
        <v>25218.91</v>
      </c>
      <c r="E617" s="6">
        <v>8322.24</v>
      </c>
      <c r="F617" s="6">
        <v>8322.24</v>
      </c>
    </row>
    <row r="618" spans="1:6" x14ac:dyDescent="0.25">
      <c r="A618" t="str">
        <f>"120675"</f>
        <v>120675</v>
      </c>
      <c r="B618" t="s">
        <v>507</v>
      </c>
      <c r="C618">
        <v>71</v>
      </c>
      <c r="D618" s="6">
        <v>30348.18</v>
      </c>
      <c r="E618" s="6">
        <v>10014.9</v>
      </c>
      <c r="F618" s="6">
        <v>10014.9</v>
      </c>
    </row>
    <row r="619" spans="1:6" x14ac:dyDescent="0.25">
      <c r="A619" t="str">
        <f>"120865"</f>
        <v>120865</v>
      </c>
      <c r="B619" t="s">
        <v>508</v>
      </c>
      <c r="C619">
        <v>186</v>
      </c>
      <c r="D619" s="6">
        <v>79503.69</v>
      </c>
      <c r="E619" s="6">
        <v>26236.22</v>
      </c>
      <c r="F619" s="6">
        <v>26236.22</v>
      </c>
    </row>
    <row r="620" spans="1:6" x14ac:dyDescent="0.25">
      <c r="A620" t="str">
        <f>"121053"</f>
        <v>121053</v>
      </c>
      <c r="B620" t="s">
        <v>509</v>
      </c>
      <c r="C620">
        <v>17</v>
      </c>
      <c r="D620" s="6">
        <v>2551.42</v>
      </c>
      <c r="E620" s="6">
        <v>841.97</v>
      </c>
      <c r="F620" s="6">
        <v>841.97</v>
      </c>
    </row>
    <row r="621" spans="1:6" x14ac:dyDescent="0.25">
      <c r="A621" t="str">
        <f>"121277"</f>
        <v>121277</v>
      </c>
      <c r="B621" t="s">
        <v>510</v>
      </c>
      <c r="C621">
        <v>23</v>
      </c>
      <c r="D621" s="6">
        <v>9831.1</v>
      </c>
      <c r="E621" s="6">
        <v>3244.26</v>
      </c>
      <c r="F621" s="6">
        <v>3244.2699999999995</v>
      </c>
    </row>
    <row r="622" spans="1:6" x14ac:dyDescent="0.25">
      <c r="A622" t="str">
        <f>"121491"</f>
        <v>121491</v>
      </c>
      <c r="B622" t="s">
        <v>511</v>
      </c>
      <c r="C622">
        <v>36</v>
      </c>
      <c r="D622" s="6">
        <v>15387.81</v>
      </c>
      <c r="E622" s="6">
        <v>5077.9799999999996</v>
      </c>
      <c r="F622" s="6">
        <v>5077.9700000000012</v>
      </c>
    </row>
    <row r="623" spans="1:6" x14ac:dyDescent="0.25">
      <c r="A623" t="str">
        <f>"122457"</f>
        <v>122457</v>
      </c>
      <c r="B623" t="s">
        <v>512</v>
      </c>
      <c r="C623">
        <v>254</v>
      </c>
      <c r="D623" s="6">
        <v>108569.56</v>
      </c>
      <c r="E623" s="6">
        <v>35827.949999999997</v>
      </c>
      <c r="F623" s="6">
        <v>35827.960000000006</v>
      </c>
    </row>
    <row r="624" spans="1:6" x14ac:dyDescent="0.25">
      <c r="A624" t="str">
        <f>"122465"</f>
        <v>122465</v>
      </c>
      <c r="B624" t="s">
        <v>513</v>
      </c>
      <c r="C624">
        <v>37</v>
      </c>
      <c r="D624" s="6">
        <v>15815.25</v>
      </c>
      <c r="E624" s="6">
        <v>5219.03</v>
      </c>
      <c r="F624" s="6">
        <v>5219.04</v>
      </c>
    </row>
    <row r="625" spans="1:6" x14ac:dyDescent="0.25">
      <c r="A625" t="str">
        <f>"122473"</f>
        <v>122473</v>
      </c>
      <c r="B625" t="s">
        <v>514</v>
      </c>
      <c r="C625">
        <v>120</v>
      </c>
      <c r="D625" s="6">
        <v>51292.71</v>
      </c>
      <c r="E625" s="6">
        <v>16926.59</v>
      </c>
      <c r="F625" s="6">
        <v>16926.600000000002</v>
      </c>
    </row>
    <row r="626" spans="1:6" x14ac:dyDescent="0.25">
      <c r="A626" t="str">
        <f>"122481"</f>
        <v>122481</v>
      </c>
      <c r="B626" t="s">
        <v>515</v>
      </c>
      <c r="C626">
        <v>9</v>
      </c>
      <c r="D626" s="6">
        <v>3846.95</v>
      </c>
      <c r="E626" s="6">
        <v>1269.49</v>
      </c>
      <c r="F626" s="6">
        <v>1269.4999999999998</v>
      </c>
    </row>
    <row r="627" spans="1:6" x14ac:dyDescent="0.25">
      <c r="A627" t="str">
        <f>"122697"</f>
        <v>122697</v>
      </c>
      <c r="B627" t="s">
        <v>487</v>
      </c>
      <c r="C627">
        <v>396</v>
      </c>
      <c r="D627" s="6">
        <v>169265.93</v>
      </c>
      <c r="E627" s="6">
        <v>55857.760000000002</v>
      </c>
      <c r="F627" s="6">
        <v>55857.749999999993</v>
      </c>
    </row>
    <row r="628" spans="1:6" x14ac:dyDescent="0.25">
      <c r="A628" t="str">
        <f>"122879"</f>
        <v>122879</v>
      </c>
      <c r="B628" t="s">
        <v>516</v>
      </c>
      <c r="C628">
        <v>20</v>
      </c>
      <c r="D628" s="6">
        <v>8548.7800000000007</v>
      </c>
      <c r="E628" s="6">
        <v>2821.1</v>
      </c>
      <c r="F628" s="6">
        <v>2821.0899999999997</v>
      </c>
    </row>
    <row r="629" spans="1:6" x14ac:dyDescent="0.25">
      <c r="A629" t="str">
        <f>"123109"</f>
        <v>123109</v>
      </c>
      <c r="B629" t="s">
        <v>517</v>
      </c>
      <c r="C629">
        <v>119</v>
      </c>
      <c r="D629" s="6">
        <v>50865.27</v>
      </c>
      <c r="E629" s="6">
        <v>16785.54</v>
      </c>
      <c r="F629" s="6">
        <v>16785.54</v>
      </c>
    </row>
    <row r="630" spans="1:6" x14ac:dyDescent="0.25">
      <c r="A630" t="str">
        <f>"123356"</f>
        <v>123356</v>
      </c>
      <c r="B630" t="s">
        <v>518</v>
      </c>
      <c r="C630">
        <v>81</v>
      </c>
      <c r="D630" s="6">
        <v>34622.58</v>
      </c>
      <c r="E630" s="6">
        <v>11425.45</v>
      </c>
      <c r="F630" s="6">
        <v>11425.45</v>
      </c>
    </row>
    <row r="631" spans="1:6" x14ac:dyDescent="0.25">
      <c r="A631" t="str">
        <f>"123950"</f>
        <v>123950</v>
      </c>
      <c r="B631" t="s">
        <v>519</v>
      </c>
      <c r="C631">
        <v>342</v>
      </c>
      <c r="D631" s="6">
        <v>146184.21</v>
      </c>
      <c r="E631" s="6">
        <v>48240.79</v>
      </c>
      <c r="F631" s="6">
        <v>48240.79</v>
      </c>
    </row>
    <row r="632" spans="1:6" x14ac:dyDescent="0.25">
      <c r="A632" t="str">
        <f>"124883"</f>
        <v>124883</v>
      </c>
      <c r="B632" t="s">
        <v>520</v>
      </c>
      <c r="C632">
        <v>545</v>
      </c>
      <c r="D632" s="6">
        <v>232954.37</v>
      </c>
      <c r="E632" s="6">
        <v>76874.94</v>
      </c>
      <c r="F632" s="6">
        <v>76874.94</v>
      </c>
    </row>
    <row r="633" spans="1:6" x14ac:dyDescent="0.25">
      <c r="A633" t="str">
        <f>"125013"</f>
        <v>125013</v>
      </c>
      <c r="B633" t="s">
        <v>521</v>
      </c>
      <c r="C633">
        <v>21</v>
      </c>
      <c r="D633" s="6">
        <v>8976.2199999999993</v>
      </c>
      <c r="E633" s="6">
        <v>2962.15</v>
      </c>
      <c r="F633" s="6">
        <v>2962.1600000000003</v>
      </c>
    </row>
    <row r="634" spans="1:6" x14ac:dyDescent="0.25">
      <c r="A634" t="str">
        <f>"125260"</f>
        <v>125260</v>
      </c>
      <c r="B634" t="s">
        <v>522</v>
      </c>
      <c r="C634">
        <v>47</v>
      </c>
      <c r="D634" s="6">
        <v>20089.64</v>
      </c>
      <c r="E634" s="6">
        <v>6629.58</v>
      </c>
      <c r="F634" s="6">
        <v>6629.58</v>
      </c>
    </row>
    <row r="635" spans="1:6" x14ac:dyDescent="0.25">
      <c r="A635" t="str">
        <f>"125278"</f>
        <v>125278</v>
      </c>
      <c r="B635" t="s">
        <v>523</v>
      </c>
      <c r="C635">
        <v>304</v>
      </c>
      <c r="D635" s="6">
        <v>127809.55</v>
      </c>
      <c r="E635" s="6">
        <v>42177.15</v>
      </c>
      <c r="F635" s="6">
        <v>42177.15</v>
      </c>
    </row>
    <row r="636" spans="1:6" x14ac:dyDescent="0.25">
      <c r="A636" t="str">
        <f>"125310"</f>
        <v>125310</v>
      </c>
      <c r="B636" t="s">
        <v>524</v>
      </c>
      <c r="C636">
        <v>346</v>
      </c>
      <c r="D636" s="6">
        <v>147893.97</v>
      </c>
      <c r="E636" s="6">
        <v>48805.01</v>
      </c>
      <c r="F636" s="6">
        <v>48805.01</v>
      </c>
    </row>
    <row r="637" spans="1:6" x14ac:dyDescent="0.25">
      <c r="A637" t="str">
        <f>"125997"</f>
        <v>125997</v>
      </c>
      <c r="B637" t="s">
        <v>525</v>
      </c>
      <c r="C637">
        <v>16</v>
      </c>
      <c r="D637" s="6">
        <v>6839.03</v>
      </c>
      <c r="E637" s="6">
        <v>2256.88</v>
      </c>
      <c r="F637" s="6">
        <v>2256.88</v>
      </c>
    </row>
    <row r="638" spans="1:6" x14ac:dyDescent="0.25">
      <c r="A638" t="str">
        <f>"126144"</f>
        <v>126144</v>
      </c>
      <c r="B638" t="s">
        <v>526</v>
      </c>
      <c r="C638">
        <v>256</v>
      </c>
      <c r="D638" s="6">
        <v>109424.44</v>
      </c>
      <c r="E638" s="6">
        <v>36110.07</v>
      </c>
      <c r="F638" s="6">
        <v>36110.060000000005</v>
      </c>
    </row>
    <row r="639" spans="1:6" x14ac:dyDescent="0.25">
      <c r="A639" t="str">
        <f>"126151"</f>
        <v>126151</v>
      </c>
      <c r="B639" t="s">
        <v>527</v>
      </c>
      <c r="C639">
        <v>16</v>
      </c>
      <c r="D639" s="6">
        <v>6549.6</v>
      </c>
      <c r="E639" s="6">
        <v>2161.37</v>
      </c>
      <c r="F639" s="6">
        <v>2161.37</v>
      </c>
    </row>
    <row r="640" spans="1:6" x14ac:dyDescent="0.25">
      <c r="A640" t="str">
        <f>"126417"</f>
        <v>126417</v>
      </c>
      <c r="B640" t="s">
        <v>528</v>
      </c>
      <c r="C640">
        <v>365</v>
      </c>
      <c r="D640" s="6">
        <v>156015.32</v>
      </c>
      <c r="E640" s="6">
        <v>51485.06</v>
      </c>
      <c r="F640" s="6">
        <v>51485.05</v>
      </c>
    </row>
    <row r="641" spans="1:6" x14ac:dyDescent="0.25">
      <c r="A641" t="str">
        <f>"126599"</f>
        <v>126599</v>
      </c>
      <c r="B641" t="s">
        <v>529</v>
      </c>
      <c r="C641">
        <v>423</v>
      </c>
      <c r="D641" s="6">
        <v>180806.79</v>
      </c>
      <c r="E641" s="6">
        <v>59666.239999999998</v>
      </c>
      <c r="F641" s="6">
        <v>59666.239999999998</v>
      </c>
    </row>
    <row r="642" spans="1:6" x14ac:dyDescent="0.25">
      <c r="A642" t="str">
        <f>"126615"</f>
        <v>126615</v>
      </c>
      <c r="B642" t="s">
        <v>530</v>
      </c>
      <c r="C642">
        <v>730</v>
      </c>
      <c r="D642" s="6">
        <v>156015.32</v>
      </c>
      <c r="E642" s="6">
        <v>51485.06</v>
      </c>
      <c r="F642" s="6">
        <v>51485.05</v>
      </c>
    </row>
    <row r="643" spans="1:6" x14ac:dyDescent="0.25">
      <c r="A643" t="str">
        <f>"132282"</f>
        <v>132282</v>
      </c>
      <c r="B643" t="s">
        <v>531</v>
      </c>
      <c r="C643">
        <v>136</v>
      </c>
      <c r="D643" s="6">
        <v>58131.73</v>
      </c>
      <c r="E643" s="6">
        <v>19183.47</v>
      </c>
      <c r="F643" s="6">
        <v>19183.47</v>
      </c>
    </row>
    <row r="644" spans="1:6" x14ac:dyDescent="0.25">
      <c r="A644" t="str">
        <f>"132316"</f>
        <v>132316</v>
      </c>
      <c r="B644" t="s">
        <v>532</v>
      </c>
      <c r="C644">
        <v>58</v>
      </c>
      <c r="D644" s="6">
        <v>3114.75</v>
      </c>
      <c r="E644" s="6">
        <v>1027.8699999999999</v>
      </c>
      <c r="F644" s="6">
        <v>1027.8699999999999</v>
      </c>
    </row>
    <row r="645" spans="1:6" x14ac:dyDescent="0.25">
      <c r="A645" t="str">
        <f>"132365"</f>
        <v>132365</v>
      </c>
      <c r="B645" t="s">
        <v>533</v>
      </c>
      <c r="C645">
        <v>13</v>
      </c>
      <c r="D645" s="6">
        <v>5556.71</v>
      </c>
      <c r="E645" s="6">
        <v>1833.71</v>
      </c>
      <c r="F645" s="6">
        <v>1833.7199999999998</v>
      </c>
    </row>
    <row r="646" spans="1:6" x14ac:dyDescent="0.25">
      <c r="A646" t="str">
        <f>"132373"</f>
        <v>132373</v>
      </c>
      <c r="B646" t="s">
        <v>534</v>
      </c>
      <c r="C646">
        <v>114</v>
      </c>
      <c r="D646" s="6">
        <v>47613.51</v>
      </c>
      <c r="E646" s="6">
        <v>15712.46</v>
      </c>
      <c r="F646" s="6">
        <v>15712.46</v>
      </c>
    </row>
    <row r="647" spans="1:6" x14ac:dyDescent="0.25">
      <c r="A647" t="str">
        <f>"132399"</f>
        <v>132399</v>
      </c>
      <c r="B647" t="s">
        <v>535</v>
      </c>
      <c r="C647">
        <v>103</v>
      </c>
      <c r="D647" s="6">
        <v>44026.239999999998</v>
      </c>
      <c r="E647" s="6">
        <v>14528.66</v>
      </c>
      <c r="F647" s="6">
        <v>14528.66</v>
      </c>
    </row>
    <row r="648" spans="1:6" x14ac:dyDescent="0.25">
      <c r="A648" t="str">
        <f>"132456"</f>
        <v>132456</v>
      </c>
      <c r="B648" t="s">
        <v>536</v>
      </c>
      <c r="C648">
        <v>6</v>
      </c>
      <c r="D648" s="6">
        <v>2564.64</v>
      </c>
      <c r="E648" s="6">
        <v>846.33</v>
      </c>
      <c r="F648" s="6">
        <v>846.33</v>
      </c>
    </row>
    <row r="649" spans="1:6" x14ac:dyDescent="0.25">
      <c r="A649" t="str">
        <f>"132498"</f>
        <v>132498</v>
      </c>
      <c r="B649" t="s">
        <v>537</v>
      </c>
      <c r="C649">
        <v>131</v>
      </c>
      <c r="D649" s="6">
        <v>55994.54</v>
      </c>
      <c r="E649" s="6">
        <v>18478.2</v>
      </c>
      <c r="F649" s="6">
        <v>18478.2</v>
      </c>
    </row>
    <row r="650" spans="1:6" x14ac:dyDescent="0.25">
      <c r="A650" t="str">
        <f>"132506"</f>
        <v>132506</v>
      </c>
      <c r="B650" t="s">
        <v>538</v>
      </c>
      <c r="C650">
        <v>46</v>
      </c>
      <c r="D650" s="6">
        <v>19662.2</v>
      </c>
      <c r="E650" s="6">
        <v>6488.53</v>
      </c>
      <c r="F650" s="6">
        <v>6488.5199999999995</v>
      </c>
    </row>
    <row r="651" spans="1:6" x14ac:dyDescent="0.25">
      <c r="A651" t="str">
        <f>"132530"</f>
        <v>132530</v>
      </c>
      <c r="B651" t="s">
        <v>539</v>
      </c>
      <c r="C651">
        <v>343</v>
      </c>
      <c r="D651" s="6">
        <v>146611.65</v>
      </c>
      <c r="E651" s="6">
        <v>48381.84</v>
      </c>
      <c r="F651" s="6">
        <v>48381.850000000006</v>
      </c>
    </row>
    <row r="652" spans="1:6" x14ac:dyDescent="0.25">
      <c r="A652" t="str">
        <f>"132571"</f>
        <v>132571</v>
      </c>
      <c r="B652" t="s">
        <v>540</v>
      </c>
      <c r="C652">
        <v>4</v>
      </c>
      <c r="D652" s="6">
        <v>1709.76</v>
      </c>
      <c r="E652" s="6">
        <v>564.22</v>
      </c>
      <c r="F652" s="6">
        <v>564.22</v>
      </c>
    </row>
    <row r="653" spans="1:6" x14ac:dyDescent="0.25">
      <c r="A653" t="str">
        <f>"132597"</f>
        <v>132597</v>
      </c>
      <c r="B653" t="s">
        <v>541</v>
      </c>
      <c r="C653">
        <v>24</v>
      </c>
      <c r="D653" s="6">
        <v>10258.540000000001</v>
      </c>
      <c r="E653" s="6">
        <v>3385.32</v>
      </c>
      <c r="F653" s="6">
        <v>3385.32</v>
      </c>
    </row>
    <row r="654" spans="1:6" x14ac:dyDescent="0.25">
      <c r="A654" t="str">
        <f>"132621"</f>
        <v>132621</v>
      </c>
      <c r="B654" t="s">
        <v>542</v>
      </c>
      <c r="C654">
        <v>12</v>
      </c>
      <c r="D654" s="6">
        <v>5129.2700000000004</v>
      </c>
      <c r="E654" s="6">
        <v>1692.66</v>
      </c>
      <c r="F654" s="6">
        <v>1692.66</v>
      </c>
    </row>
    <row r="655" spans="1:6" x14ac:dyDescent="0.25">
      <c r="A655" t="str">
        <f>"132647"</f>
        <v>132647</v>
      </c>
      <c r="B655" t="s">
        <v>543</v>
      </c>
      <c r="C655">
        <v>122</v>
      </c>
      <c r="D655" s="6">
        <v>52147.58</v>
      </c>
      <c r="E655" s="6">
        <v>17208.7</v>
      </c>
      <c r="F655" s="6">
        <v>17208.7</v>
      </c>
    </row>
    <row r="656" spans="1:6" x14ac:dyDescent="0.25">
      <c r="A656" t="str">
        <f>"132662"</f>
        <v>132662</v>
      </c>
      <c r="B656" t="s">
        <v>544</v>
      </c>
      <c r="C656">
        <v>22</v>
      </c>
      <c r="D656" s="6">
        <v>9403.66</v>
      </c>
      <c r="E656" s="6">
        <v>3103.21</v>
      </c>
      <c r="F656" s="6">
        <v>3103.21</v>
      </c>
    </row>
    <row r="657" spans="1:6" x14ac:dyDescent="0.25">
      <c r="A657" t="str">
        <f>"132688"</f>
        <v>132688</v>
      </c>
      <c r="B657" t="s">
        <v>545</v>
      </c>
      <c r="C657">
        <v>15</v>
      </c>
      <c r="D657" s="6">
        <v>3122.09</v>
      </c>
      <c r="E657" s="6">
        <v>1030.29</v>
      </c>
      <c r="F657" s="6">
        <v>1030.29</v>
      </c>
    </row>
    <row r="658" spans="1:6" x14ac:dyDescent="0.25">
      <c r="A658" t="str">
        <f>"132696"</f>
        <v>132696</v>
      </c>
      <c r="B658" t="s">
        <v>546</v>
      </c>
      <c r="C658">
        <v>61</v>
      </c>
      <c r="D658" s="6">
        <v>26073.79</v>
      </c>
      <c r="E658" s="6">
        <v>8604.35</v>
      </c>
      <c r="F658" s="6">
        <v>8604.35</v>
      </c>
    </row>
    <row r="659" spans="1:6" x14ac:dyDescent="0.25">
      <c r="A659" t="str">
        <f>"132704"</f>
        <v>132704</v>
      </c>
      <c r="B659" t="s">
        <v>547</v>
      </c>
      <c r="C659">
        <v>75</v>
      </c>
      <c r="D659" s="6">
        <v>32057.94</v>
      </c>
      <c r="E659" s="6">
        <v>10579.12</v>
      </c>
      <c r="F659" s="6">
        <v>10579.12</v>
      </c>
    </row>
    <row r="660" spans="1:6" x14ac:dyDescent="0.25">
      <c r="A660" t="str">
        <f>"132712"</f>
        <v>132712</v>
      </c>
      <c r="B660" t="s">
        <v>548</v>
      </c>
      <c r="C660">
        <v>134</v>
      </c>
      <c r="D660" s="6">
        <v>57276.86</v>
      </c>
      <c r="E660" s="6">
        <v>18901.36</v>
      </c>
      <c r="F660" s="6">
        <v>18901.370000000003</v>
      </c>
    </row>
    <row r="661" spans="1:6" x14ac:dyDescent="0.25">
      <c r="A661" t="str">
        <f>"132829"</f>
        <v>132829</v>
      </c>
      <c r="B661" t="s">
        <v>549</v>
      </c>
      <c r="C661">
        <v>74</v>
      </c>
      <c r="D661" s="6">
        <v>31630.5</v>
      </c>
      <c r="E661" s="6">
        <v>10438.07</v>
      </c>
      <c r="F661" s="6">
        <v>10438.060000000001</v>
      </c>
    </row>
    <row r="662" spans="1:6" x14ac:dyDescent="0.25">
      <c r="A662" t="str">
        <f>"132837"</f>
        <v>132837</v>
      </c>
      <c r="B662" t="s">
        <v>550</v>
      </c>
      <c r="C662">
        <v>12</v>
      </c>
      <c r="D662" s="6">
        <v>5129.2700000000004</v>
      </c>
      <c r="E662" s="6">
        <v>1692.66</v>
      </c>
      <c r="F662" s="6">
        <v>1692.66</v>
      </c>
    </row>
    <row r="663" spans="1:6" x14ac:dyDescent="0.25">
      <c r="A663" t="str">
        <f>"132878"</f>
        <v>132878</v>
      </c>
      <c r="B663" t="s">
        <v>551</v>
      </c>
      <c r="C663">
        <v>149</v>
      </c>
      <c r="D663" s="6">
        <v>63688.44</v>
      </c>
      <c r="E663" s="6">
        <v>21017.19</v>
      </c>
      <c r="F663" s="6">
        <v>21017.180000000004</v>
      </c>
    </row>
    <row r="664" spans="1:6" x14ac:dyDescent="0.25">
      <c r="A664" t="str">
        <f>"132928"</f>
        <v>132928</v>
      </c>
      <c r="B664" t="s">
        <v>83</v>
      </c>
      <c r="C664">
        <v>120</v>
      </c>
      <c r="D664" s="6">
        <v>51292.71</v>
      </c>
      <c r="E664" s="6">
        <v>16926.59</v>
      </c>
      <c r="F664" s="6">
        <v>16926.600000000002</v>
      </c>
    </row>
    <row r="665" spans="1:6" x14ac:dyDescent="0.25">
      <c r="A665" t="str">
        <f>"132936"</f>
        <v>132936</v>
      </c>
      <c r="B665" t="s">
        <v>552</v>
      </c>
      <c r="C665">
        <v>15</v>
      </c>
      <c r="D665" s="6">
        <v>2671.02</v>
      </c>
      <c r="E665" s="6">
        <v>881.44</v>
      </c>
      <c r="F665" s="6">
        <v>881.42999999999984</v>
      </c>
    </row>
    <row r="666" spans="1:6" x14ac:dyDescent="0.25">
      <c r="A666" t="str">
        <f>"133025"</f>
        <v>133025</v>
      </c>
      <c r="B666" t="s">
        <v>553</v>
      </c>
      <c r="C666">
        <v>11</v>
      </c>
      <c r="D666" s="6">
        <v>4701.83</v>
      </c>
      <c r="E666" s="6">
        <v>1551.6</v>
      </c>
      <c r="F666" s="6">
        <v>1551.6100000000001</v>
      </c>
    </row>
    <row r="667" spans="1:6" x14ac:dyDescent="0.25">
      <c r="A667" t="str">
        <f>"133033"</f>
        <v>133033</v>
      </c>
      <c r="B667" t="s">
        <v>554</v>
      </c>
      <c r="C667">
        <v>75</v>
      </c>
      <c r="D667" s="6">
        <v>32057.94</v>
      </c>
      <c r="E667" s="6">
        <v>10579.12</v>
      </c>
      <c r="F667" s="6">
        <v>10579.12</v>
      </c>
    </row>
    <row r="668" spans="1:6" x14ac:dyDescent="0.25">
      <c r="A668" t="str">
        <f>"133041"</f>
        <v>133041</v>
      </c>
      <c r="B668" t="s">
        <v>555</v>
      </c>
      <c r="C668">
        <v>11</v>
      </c>
      <c r="D668" s="6">
        <v>4701.83</v>
      </c>
      <c r="E668" s="6">
        <v>1551.6</v>
      </c>
      <c r="F668" s="6">
        <v>1551.6100000000001</v>
      </c>
    </row>
    <row r="669" spans="1:6" x14ac:dyDescent="0.25">
      <c r="A669" t="str">
        <f>"133082"</f>
        <v>133082</v>
      </c>
      <c r="B669" t="s">
        <v>556</v>
      </c>
      <c r="C669">
        <v>107</v>
      </c>
      <c r="D669" s="6">
        <v>41599.160000000003</v>
      </c>
      <c r="E669" s="6">
        <v>13727.72</v>
      </c>
      <c r="F669" s="6">
        <v>13727.730000000001</v>
      </c>
    </row>
    <row r="670" spans="1:6" x14ac:dyDescent="0.25">
      <c r="A670" t="str">
        <f>"133090"</f>
        <v>133090</v>
      </c>
      <c r="B670" t="s">
        <v>557</v>
      </c>
      <c r="C670">
        <v>6</v>
      </c>
      <c r="D670" s="6">
        <v>2564.64</v>
      </c>
      <c r="E670" s="6">
        <v>846.33</v>
      </c>
      <c r="F670" s="6">
        <v>846.33</v>
      </c>
    </row>
    <row r="671" spans="1:6" x14ac:dyDescent="0.25">
      <c r="A671" t="str">
        <f>"133116"</f>
        <v>133116</v>
      </c>
      <c r="B671" t="s">
        <v>558</v>
      </c>
      <c r="C671">
        <v>41</v>
      </c>
      <c r="D671" s="6">
        <v>17525.009999999998</v>
      </c>
      <c r="E671" s="6">
        <v>5783.25</v>
      </c>
      <c r="F671" s="6">
        <v>5783.26</v>
      </c>
    </row>
    <row r="672" spans="1:6" x14ac:dyDescent="0.25">
      <c r="A672" t="str">
        <f>"133132"</f>
        <v>133132</v>
      </c>
      <c r="B672" t="s">
        <v>559</v>
      </c>
      <c r="C672">
        <v>28</v>
      </c>
      <c r="D672" s="6">
        <v>11968.3</v>
      </c>
      <c r="E672" s="6">
        <v>3949.54</v>
      </c>
      <c r="F672" s="6">
        <v>3949.54</v>
      </c>
    </row>
    <row r="673" spans="1:6" x14ac:dyDescent="0.25">
      <c r="A673" t="str">
        <f>"133140"</f>
        <v>133140</v>
      </c>
      <c r="B673" t="s">
        <v>43</v>
      </c>
      <c r="C673">
        <v>389</v>
      </c>
      <c r="D673" s="6">
        <v>166273.85999999999</v>
      </c>
      <c r="E673" s="6">
        <v>54870.37</v>
      </c>
      <c r="F673" s="6">
        <v>54870.38</v>
      </c>
    </row>
    <row r="674" spans="1:6" x14ac:dyDescent="0.25">
      <c r="A674" t="str">
        <f>"133165"</f>
        <v>133165</v>
      </c>
      <c r="B674" t="s">
        <v>560</v>
      </c>
      <c r="C674">
        <v>21</v>
      </c>
      <c r="D674" s="6">
        <v>8976.2199999999993</v>
      </c>
      <c r="E674" s="6">
        <v>2962.15</v>
      </c>
      <c r="F674" s="6">
        <v>2962.1600000000003</v>
      </c>
    </row>
    <row r="675" spans="1:6" x14ac:dyDescent="0.25">
      <c r="A675" t="str">
        <f>"133207"</f>
        <v>133207</v>
      </c>
      <c r="B675" t="s">
        <v>561</v>
      </c>
      <c r="C675">
        <v>104</v>
      </c>
      <c r="D675" s="6">
        <v>44453.68</v>
      </c>
      <c r="E675" s="6">
        <v>14669.71</v>
      </c>
      <c r="F675" s="6">
        <v>14669.720000000001</v>
      </c>
    </row>
    <row r="676" spans="1:6" x14ac:dyDescent="0.25">
      <c r="A676" t="str">
        <f>"134304"</f>
        <v>134304</v>
      </c>
      <c r="B676" t="s">
        <v>562</v>
      </c>
      <c r="C676">
        <v>67</v>
      </c>
      <c r="D676" s="6">
        <v>26121.93</v>
      </c>
      <c r="E676" s="6">
        <v>8620.24</v>
      </c>
      <c r="F676" s="6">
        <v>8620.2300000000014</v>
      </c>
    </row>
    <row r="677" spans="1:6" x14ac:dyDescent="0.25">
      <c r="A677" t="str">
        <f>"134312"</f>
        <v>134312</v>
      </c>
      <c r="B677" t="s">
        <v>563</v>
      </c>
      <c r="C677">
        <v>534</v>
      </c>
      <c r="D677" s="6">
        <v>228252.54</v>
      </c>
      <c r="E677" s="6">
        <v>75323.34</v>
      </c>
      <c r="F677" s="6">
        <v>75323.34</v>
      </c>
    </row>
    <row r="678" spans="1:6" x14ac:dyDescent="0.25">
      <c r="A678" t="str">
        <f>"134338"</f>
        <v>134338</v>
      </c>
      <c r="B678" t="s">
        <v>564</v>
      </c>
      <c r="C678">
        <v>206</v>
      </c>
      <c r="D678" s="6">
        <v>88052.479999999996</v>
      </c>
      <c r="E678" s="6">
        <v>29057.32</v>
      </c>
      <c r="F678" s="6">
        <v>29057.32</v>
      </c>
    </row>
    <row r="679" spans="1:6" x14ac:dyDescent="0.25">
      <c r="A679" t="str">
        <f>"134353"</f>
        <v>134353</v>
      </c>
      <c r="B679" t="s">
        <v>565</v>
      </c>
      <c r="C679">
        <v>148</v>
      </c>
      <c r="D679" s="6">
        <v>63261</v>
      </c>
      <c r="E679" s="6">
        <v>20876.13</v>
      </c>
      <c r="F679" s="6">
        <v>20876.13</v>
      </c>
    </row>
    <row r="680" spans="1:6" x14ac:dyDescent="0.25">
      <c r="A680" t="str">
        <f>"134387"</f>
        <v>134387</v>
      </c>
      <c r="B680" t="s">
        <v>566</v>
      </c>
      <c r="C680">
        <v>149</v>
      </c>
      <c r="D680" s="6">
        <v>63688.44</v>
      </c>
      <c r="E680" s="6">
        <v>21017.19</v>
      </c>
      <c r="F680" s="6">
        <v>21017.180000000004</v>
      </c>
    </row>
    <row r="681" spans="1:6" x14ac:dyDescent="0.25">
      <c r="A681" t="str">
        <f>"134429"</f>
        <v>134429</v>
      </c>
      <c r="B681" t="s">
        <v>567</v>
      </c>
      <c r="C681">
        <v>168</v>
      </c>
      <c r="D681" s="6">
        <v>71809.789999999994</v>
      </c>
      <c r="E681" s="6">
        <v>23697.23</v>
      </c>
      <c r="F681" s="6">
        <v>23697.23</v>
      </c>
    </row>
    <row r="682" spans="1:6" x14ac:dyDescent="0.25">
      <c r="A682" t="str">
        <f>"134437"</f>
        <v>134437</v>
      </c>
      <c r="B682" t="s">
        <v>568</v>
      </c>
      <c r="C682">
        <v>46</v>
      </c>
      <c r="D682" s="6">
        <v>19662.2</v>
      </c>
      <c r="E682" s="6">
        <v>6488.53</v>
      </c>
      <c r="F682" s="6">
        <v>6488.5199999999995</v>
      </c>
    </row>
    <row r="683" spans="1:6" x14ac:dyDescent="0.25">
      <c r="A683" t="str">
        <f>"134460"</f>
        <v>134460</v>
      </c>
      <c r="B683" t="s">
        <v>569</v>
      </c>
      <c r="C683">
        <v>113</v>
      </c>
      <c r="D683" s="6">
        <v>48300.63</v>
      </c>
      <c r="E683" s="6">
        <v>15939.21</v>
      </c>
      <c r="F683" s="6">
        <v>15939.21</v>
      </c>
    </row>
    <row r="684" spans="1:6" x14ac:dyDescent="0.25">
      <c r="A684" t="str">
        <f>"134478"</f>
        <v>134478</v>
      </c>
      <c r="B684" t="s">
        <v>570</v>
      </c>
      <c r="C684">
        <v>58</v>
      </c>
      <c r="D684" s="6">
        <v>24791.47</v>
      </c>
      <c r="E684" s="6">
        <v>8181.19</v>
      </c>
      <c r="F684" s="6">
        <v>8181.1800000000012</v>
      </c>
    </row>
    <row r="685" spans="1:6" x14ac:dyDescent="0.25">
      <c r="A685" t="str">
        <f>"134510"</f>
        <v>134510</v>
      </c>
      <c r="B685" t="s">
        <v>571</v>
      </c>
      <c r="C685">
        <v>455</v>
      </c>
      <c r="D685" s="6">
        <v>194484.84</v>
      </c>
      <c r="E685" s="6">
        <v>64180</v>
      </c>
      <c r="F685" s="6">
        <v>64179.990000000005</v>
      </c>
    </row>
    <row r="686" spans="1:6" x14ac:dyDescent="0.25">
      <c r="A686" t="str">
        <f>"134528"</f>
        <v>134528</v>
      </c>
      <c r="B686" t="s">
        <v>572</v>
      </c>
      <c r="C686">
        <v>187</v>
      </c>
      <c r="D686" s="6">
        <v>79931.13</v>
      </c>
      <c r="E686" s="6">
        <v>26377.27</v>
      </c>
      <c r="F686" s="6">
        <v>26377.280000000002</v>
      </c>
    </row>
    <row r="687" spans="1:6" x14ac:dyDescent="0.25">
      <c r="A687" t="str">
        <f>"134536"</f>
        <v>134536</v>
      </c>
      <c r="B687" t="s">
        <v>573</v>
      </c>
      <c r="C687">
        <v>95</v>
      </c>
      <c r="D687" s="6">
        <v>40606.730000000003</v>
      </c>
      <c r="E687" s="6">
        <v>13400.22</v>
      </c>
      <c r="F687" s="6">
        <v>13400.22</v>
      </c>
    </row>
    <row r="688" spans="1:6" x14ac:dyDescent="0.25">
      <c r="A688" t="str">
        <f>"134544"</f>
        <v>134544</v>
      </c>
      <c r="B688" t="s">
        <v>574</v>
      </c>
      <c r="C688">
        <v>9</v>
      </c>
      <c r="D688" s="6">
        <v>3846.95</v>
      </c>
      <c r="E688" s="6">
        <v>1269.49</v>
      </c>
      <c r="F688" s="6">
        <v>1269.4999999999998</v>
      </c>
    </row>
    <row r="689" spans="1:6" x14ac:dyDescent="0.25">
      <c r="A689" t="str">
        <f>"134619"</f>
        <v>134619</v>
      </c>
      <c r="B689" t="s">
        <v>508</v>
      </c>
      <c r="C689">
        <v>268</v>
      </c>
      <c r="D689" s="6">
        <v>114553.71</v>
      </c>
      <c r="E689" s="6">
        <v>37802.720000000001</v>
      </c>
      <c r="F689" s="6">
        <v>37802.729999999996</v>
      </c>
    </row>
    <row r="690" spans="1:6" x14ac:dyDescent="0.25">
      <c r="A690" t="str">
        <f>"134817"</f>
        <v>134817</v>
      </c>
      <c r="B690" t="s">
        <v>575</v>
      </c>
      <c r="C690">
        <v>37</v>
      </c>
      <c r="D690" s="6">
        <v>15815.25</v>
      </c>
      <c r="E690" s="6">
        <v>5219.03</v>
      </c>
      <c r="F690" s="6">
        <v>5219.04</v>
      </c>
    </row>
    <row r="691" spans="1:6" x14ac:dyDescent="0.25">
      <c r="A691" t="str">
        <f>"138073"</f>
        <v>138073</v>
      </c>
      <c r="B691" t="s">
        <v>576</v>
      </c>
      <c r="C691">
        <v>163</v>
      </c>
      <c r="D691" s="6">
        <v>69672.59</v>
      </c>
      <c r="E691" s="6">
        <v>22991.95</v>
      </c>
      <c r="F691" s="6">
        <v>22991.960000000003</v>
      </c>
    </row>
    <row r="692" spans="1:6" x14ac:dyDescent="0.25">
      <c r="A692" t="str">
        <f>"143008"</f>
        <v>143008</v>
      </c>
      <c r="B692" t="s">
        <v>577</v>
      </c>
      <c r="C692">
        <v>150</v>
      </c>
      <c r="D692" s="6">
        <v>64115.88</v>
      </c>
      <c r="E692" s="6">
        <v>21158.240000000002</v>
      </c>
      <c r="F692" s="6">
        <v>21158.240000000002</v>
      </c>
    </row>
    <row r="693" spans="1:6" x14ac:dyDescent="0.25">
      <c r="A693" t="str">
        <f>"143040"</f>
        <v>143040</v>
      </c>
      <c r="B693" t="s">
        <v>578</v>
      </c>
      <c r="C693">
        <v>87</v>
      </c>
      <c r="D693" s="6">
        <v>37187.21</v>
      </c>
      <c r="E693" s="6">
        <v>12271.78</v>
      </c>
      <c r="F693" s="6">
        <v>12271.78</v>
      </c>
    </row>
    <row r="694" spans="1:6" x14ac:dyDescent="0.25">
      <c r="A694" t="str">
        <f>"143081"</f>
        <v>143081</v>
      </c>
      <c r="B694" t="s">
        <v>579</v>
      </c>
      <c r="C694">
        <v>200</v>
      </c>
      <c r="D694" s="6">
        <v>85487.84</v>
      </c>
      <c r="E694" s="6">
        <v>28210.99</v>
      </c>
      <c r="F694" s="6">
        <v>28210.98</v>
      </c>
    </row>
    <row r="695" spans="1:6" x14ac:dyDescent="0.25">
      <c r="A695" t="str">
        <f>"143099"</f>
        <v>143099</v>
      </c>
      <c r="B695" t="s">
        <v>580</v>
      </c>
      <c r="C695">
        <v>245</v>
      </c>
      <c r="D695" s="6">
        <v>104722.61</v>
      </c>
      <c r="E695" s="6">
        <v>34558.46</v>
      </c>
      <c r="F695" s="6">
        <v>34558.46</v>
      </c>
    </row>
    <row r="696" spans="1:6" x14ac:dyDescent="0.25">
      <c r="A696" t="str">
        <f>"143230"</f>
        <v>143230</v>
      </c>
      <c r="B696" t="s">
        <v>581</v>
      </c>
      <c r="C696">
        <v>23</v>
      </c>
      <c r="D696" s="6">
        <v>9831.1</v>
      </c>
      <c r="E696" s="6">
        <v>3244.26</v>
      </c>
      <c r="F696" s="6">
        <v>3244.2699999999995</v>
      </c>
    </row>
    <row r="697" spans="1:6" x14ac:dyDescent="0.25">
      <c r="A697" t="str">
        <f>"143248"</f>
        <v>143248</v>
      </c>
      <c r="B697" t="s">
        <v>582</v>
      </c>
      <c r="C697">
        <v>116</v>
      </c>
      <c r="D697" s="6">
        <v>49582.95</v>
      </c>
      <c r="E697" s="6">
        <v>16362.37</v>
      </c>
      <c r="F697" s="6">
        <v>16362.38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9657-E6A3-4242-926E-BD1CEA1D8AD5}">
  <dimension ref="A1:H697"/>
  <sheetViews>
    <sheetView tabSelected="1" workbookViewId="0">
      <selection activeCell="I1" sqref="I1:I1048576"/>
    </sheetView>
  </sheetViews>
  <sheetFormatPr defaultRowHeight="15" x14ac:dyDescent="0.25"/>
  <cols>
    <col min="2" max="2" width="59.7109375" bestFit="1" customWidth="1"/>
    <col min="3" max="3" width="21.42578125" customWidth="1"/>
    <col min="4" max="4" width="35.7109375" customWidth="1"/>
    <col min="5" max="5" width="28.5703125" customWidth="1"/>
    <col min="6" max="6" width="29.42578125" customWidth="1"/>
    <col min="7" max="7" width="25.85546875" customWidth="1"/>
    <col min="8" max="8" width="14.42578125" customWidth="1"/>
  </cols>
  <sheetData>
    <row r="1" spans="1:8" ht="23.25" x14ac:dyDescent="0.35">
      <c r="A1" s="2" t="s">
        <v>0</v>
      </c>
      <c r="B1" s="2"/>
      <c r="C1" s="2"/>
      <c r="D1" s="2"/>
      <c r="E1" s="2"/>
      <c r="F1" s="2"/>
    </row>
    <row r="2" spans="1:8" x14ac:dyDescent="0.25">
      <c r="A2" s="3" t="s">
        <v>594</v>
      </c>
      <c r="B2" s="3"/>
      <c r="C2" s="3"/>
      <c r="D2" s="3"/>
      <c r="E2" s="3"/>
      <c r="F2" s="3"/>
    </row>
    <row r="3" spans="1:8" x14ac:dyDescent="0.25">
      <c r="A3" s="3" t="s">
        <v>593</v>
      </c>
      <c r="B3" s="3"/>
      <c r="C3" s="3"/>
      <c r="D3" s="3"/>
      <c r="E3" s="3"/>
      <c r="F3" s="3"/>
    </row>
    <row r="4" spans="1:8" x14ac:dyDescent="0.25">
      <c r="A4" s="4" t="s">
        <v>590</v>
      </c>
      <c r="B4" s="4"/>
      <c r="C4" s="4"/>
      <c r="D4" s="4"/>
      <c r="E4" s="4"/>
      <c r="F4" s="4"/>
    </row>
    <row r="5" spans="1:8" ht="45.75" thickBot="1" x14ac:dyDescent="0.3">
      <c r="A5" s="1" t="s">
        <v>2</v>
      </c>
      <c r="B5" s="1" t="s">
        <v>3</v>
      </c>
      <c r="C5" s="1" t="s">
        <v>4</v>
      </c>
      <c r="D5" s="1" t="s">
        <v>591</v>
      </c>
      <c r="E5" s="1" t="s">
        <v>584</v>
      </c>
      <c r="F5" s="1" t="s">
        <v>585</v>
      </c>
      <c r="G5" s="1" t="s">
        <v>592</v>
      </c>
      <c r="H5" s="1" t="s">
        <v>589</v>
      </c>
    </row>
    <row r="6" spans="1:8" x14ac:dyDescent="0.25">
      <c r="A6" t="str">
        <f>"000176"</f>
        <v>000176</v>
      </c>
      <c r="B6" t="s">
        <v>7</v>
      </c>
      <c r="C6">
        <v>178</v>
      </c>
      <c r="D6" s="6">
        <v>76084.179999999993</v>
      </c>
      <c r="E6" s="6">
        <v>25107.78</v>
      </c>
      <c r="F6" s="6">
        <v>25107.78</v>
      </c>
      <c r="G6" s="6">
        <v>17423.28</v>
      </c>
      <c r="H6" s="6">
        <f>SUM(Table134[[#This Row],[NOVEMBER PAYMENT]:[MAY PAYMENT 
(BUDGET REDUCTION)]])</f>
        <v>67638.84</v>
      </c>
    </row>
    <row r="7" spans="1:8" x14ac:dyDescent="0.25">
      <c r="A7" t="str">
        <f>"000204"</f>
        <v>000204</v>
      </c>
      <c r="B7" t="s">
        <v>8</v>
      </c>
      <c r="C7">
        <v>46</v>
      </c>
      <c r="D7" s="6">
        <v>19662.2</v>
      </c>
      <c r="E7" s="6">
        <v>6488.53</v>
      </c>
      <c r="F7" s="6">
        <v>6488.5199999999995</v>
      </c>
      <c r="G7" s="6">
        <v>4502.6499999999996</v>
      </c>
      <c r="H7" s="6">
        <f>SUM(Table134[[#This Row],[NOVEMBER PAYMENT]:[MAY PAYMENT 
(BUDGET REDUCTION)]])</f>
        <v>17479.699999999997</v>
      </c>
    </row>
    <row r="8" spans="1:8" x14ac:dyDescent="0.25">
      <c r="A8" t="str">
        <f>"000468"</f>
        <v>000468</v>
      </c>
      <c r="B8" t="s">
        <v>9</v>
      </c>
      <c r="C8">
        <v>152</v>
      </c>
      <c r="D8" s="6">
        <v>64970.76</v>
      </c>
      <c r="E8" s="6">
        <v>21440.35</v>
      </c>
      <c r="F8" s="6">
        <v>21440.35</v>
      </c>
      <c r="G8" s="6">
        <v>14878.31</v>
      </c>
      <c r="H8" s="6">
        <f>SUM(Table134[[#This Row],[NOVEMBER PAYMENT]:[MAY PAYMENT 
(BUDGET REDUCTION)]])</f>
        <v>57759.009999999995</v>
      </c>
    </row>
    <row r="9" spans="1:8" x14ac:dyDescent="0.25">
      <c r="A9" t="str">
        <f>"000476"</f>
        <v>000476</v>
      </c>
      <c r="B9" t="s">
        <v>10</v>
      </c>
      <c r="C9">
        <v>398</v>
      </c>
      <c r="D9" s="6">
        <v>170120.81</v>
      </c>
      <c r="E9" s="6">
        <v>56139.87</v>
      </c>
      <c r="F9" s="6">
        <v>56139.859999999993</v>
      </c>
      <c r="G9" s="6">
        <v>38957.67</v>
      </c>
      <c r="H9" s="6">
        <f>SUM(Table134[[#This Row],[NOVEMBER PAYMENT]:[MAY PAYMENT 
(BUDGET REDUCTION)]])</f>
        <v>151237.4</v>
      </c>
    </row>
    <row r="10" spans="1:8" x14ac:dyDescent="0.25">
      <c r="A10" t="str">
        <f>"000479"</f>
        <v>000479</v>
      </c>
      <c r="B10" t="s">
        <v>11</v>
      </c>
      <c r="C10">
        <v>25</v>
      </c>
      <c r="D10" s="6">
        <v>10685.98</v>
      </c>
      <c r="E10" s="6">
        <v>3526.37</v>
      </c>
      <c r="F10" s="6">
        <v>3526.38</v>
      </c>
      <c r="G10" s="6">
        <v>2447.09</v>
      </c>
      <c r="H10" s="6">
        <f>SUM(Table134[[#This Row],[NOVEMBER PAYMENT]:[MAY PAYMENT 
(BUDGET REDUCTION)]])</f>
        <v>9499.84</v>
      </c>
    </row>
    <row r="11" spans="1:8" x14ac:dyDescent="0.25">
      <c r="A11" t="str">
        <f>"000551"</f>
        <v>000551</v>
      </c>
      <c r="B11" t="s">
        <v>12</v>
      </c>
      <c r="C11">
        <v>383</v>
      </c>
      <c r="D11" s="6">
        <v>163709.22</v>
      </c>
      <c r="E11" s="6">
        <v>54024.04</v>
      </c>
      <c r="F11" s="6">
        <v>54024.049999999996</v>
      </c>
      <c r="G11" s="6">
        <v>37489.410000000003</v>
      </c>
      <c r="H11" s="6">
        <f>SUM(Table134[[#This Row],[NOVEMBER PAYMENT]:[MAY PAYMENT 
(BUDGET REDUCTION)]])</f>
        <v>145537.5</v>
      </c>
    </row>
    <row r="12" spans="1:8" x14ac:dyDescent="0.25">
      <c r="A12" t="str">
        <f>"000601"</f>
        <v>000601</v>
      </c>
      <c r="B12" t="s">
        <v>13</v>
      </c>
      <c r="C12">
        <v>211</v>
      </c>
      <c r="D12" s="6">
        <v>90189.68</v>
      </c>
      <c r="E12" s="6">
        <v>29762.59</v>
      </c>
      <c r="F12" s="6">
        <v>29762.600000000002</v>
      </c>
      <c r="G12" s="6">
        <v>20653.439999999999</v>
      </c>
      <c r="H12" s="6">
        <f>SUM(Table134[[#This Row],[NOVEMBER PAYMENT]:[MAY PAYMENT 
(BUDGET REDUCTION)]])</f>
        <v>80178.63</v>
      </c>
    </row>
    <row r="13" spans="1:8" x14ac:dyDescent="0.25">
      <c r="A13" t="str">
        <f>"000660"</f>
        <v>000660</v>
      </c>
      <c r="B13" t="s">
        <v>14</v>
      </c>
      <c r="C13">
        <v>70</v>
      </c>
      <c r="D13" s="6">
        <v>29920.75</v>
      </c>
      <c r="E13" s="6">
        <v>9873.85</v>
      </c>
      <c r="F13" s="6">
        <v>9873.85</v>
      </c>
      <c r="G13" s="6">
        <v>6851.85</v>
      </c>
      <c r="H13" s="6">
        <f>SUM(Table134[[#This Row],[NOVEMBER PAYMENT]:[MAY PAYMENT 
(BUDGET REDUCTION)]])</f>
        <v>26599.550000000003</v>
      </c>
    </row>
    <row r="14" spans="1:8" x14ac:dyDescent="0.25">
      <c r="A14" t="str">
        <f>"000681"</f>
        <v>000681</v>
      </c>
      <c r="B14" t="s">
        <v>15</v>
      </c>
      <c r="C14">
        <v>6</v>
      </c>
      <c r="D14" s="6">
        <v>2210.9899999999998</v>
      </c>
      <c r="E14" s="6">
        <v>729.63</v>
      </c>
      <c r="F14" s="6">
        <v>729.62</v>
      </c>
      <c r="G14" s="6">
        <v>506.32</v>
      </c>
      <c r="H14" s="6">
        <f>SUM(Table134[[#This Row],[NOVEMBER PAYMENT]:[MAY PAYMENT 
(BUDGET REDUCTION)]])</f>
        <v>1965.57</v>
      </c>
    </row>
    <row r="15" spans="1:8" x14ac:dyDescent="0.25">
      <c r="A15" t="str">
        <f>"007996"</f>
        <v>007996</v>
      </c>
      <c r="B15" t="s">
        <v>16</v>
      </c>
      <c r="C15">
        <v>7</v>
      </c>
      <c r="D15" s="6">
        <v>2992.07</v>
      </c>
      <c r="E15" s="6">
        <v>987.38</v>
      </c>
      <c r="F15" s="6">
        <v>987.39</v>
      </c>
      <c r="G15" s="6">
        <v>685.18</v>
      </c>
      <c r="H15" s="6">
        <f>SUM(Table134[[#This Row],[NOVEMBER PAYMENT]:[MAY PAYMENT 
(BUDGET REDUCTION)]])</f>
        <v>2659.95</v>
      </c>
    </row>
    <row r="16" spans="1:8" x14ac:dyDescent="0.25">
      <c r="A16" t="str">
        <f>"008019"</f>
        <v>008019</v>
      </c>
      <c r="B16" t="s">
        <v>17</v>
      </c>
      <c r="C16">
        <v>223</v>
      </c>
      <c r="D16" s="6">
        <v>95318.95</v>
      </c>
      <c r="E16" s="6">
        <v>31455.25</v>
      </c>
      <c r="F16" s="6">
        <v>31455.260000000002</v>
      </c>
      <c r="G16" s="6">
        <v>21828.04</v>
      </c>
      <c r="H16" s="6">
        <f>SUM(Table134[[#This Row],[NOVEMBER PAYMENT]:[MAY PAYMENT 
(BUDGET REDUCTION)]])</f>
        <v>84738.55</v>
      </c>
    </row>
    <row r="17" spans="1:8" x14ac:dyDescent="0.25">
      <c r="A17" t="str">
        <f>"008070"</f>
        <v>008070</v>
      </c>
      <c r="B17" t="s">
        <v>18</v>
      </c>
      <c r="C17">
        <v>22</v>
      </c>
      <c r="D17" s="6">
        <v>9403.66</v>
      </c>
      <c r="E17" s="6">
        <v>3103.21</v>
      </c>
      <c r="F17" s="6">
        <v>3103.21</v>
      </c>
      <c r="G17" s="6">
        <v>2153.4299999999998</v>
      </c>
      <c r="H17" s="6">
        <f>SUM(Table134[[#This Row],[NOVEMBER PAYMENT]:[MAY PAYMENT 
(BUDGET REDUCTION)]])</f>
        <v>8359.85</v>
      </c>
    </row>
    <row r="18" spans="1:8" x14ac:dyDescent="0.25">
      <c r="A18" t="str">
        <f>"008071"</f>
        <v>008071</v>
      </c>
      <c r="B18" t="s">
        <v>19</v>
      </c>
      <c r="C18">
        <v>214</v>
      </c>
      <c r="D18" s="6">
        <v>91471.99</v>
      </c>
      <c r="E18" s="6">
        <v>30185.759999999998</v>
      </c>
      <c r="F18" s="6">
        <v>30185.750000000004</v>
      </c>
      <c r="G18" s="6">
        <v>20947.09</v>
      </c>
      <c r="H18" s="6">
        <f>SUM(Table134[[#This Row],[NOVEMBER PAYMENT]:[MAY PAYMENT 
(BUDGET REDUCTION)]])</f>
        <v>81318.600000000006</v>
      </c>
    </row>
    <row r="19" spans="1:8" x14ac:dyDescent="0.25">
      <c r="A19" t="str">
        <f>"008096"</f>
        <v>008096</v>
      </c>
      <c r="B19" t="s">
        <v>20</v>
      </c>
      <c r="C19">
        <v>191</v>
      </c>
      <c r="D19" s="6">
        <v>81640.89</v>
      </c>
      <c r="E19" s="6">
        <v>26941.49</v>
      </c>
      <c r="F19" s="6">
        <v>26941.499999999996</v>
      </c>
      <c r="G19" s="6">
        <v>18695.759999999998</v>
      </c>
      <c r="H19" s="6">
        <f>SUM(Table134[[#This Row],[NOVEMBER PAYMENT]:[MAY PAYMENT 
(BUDGET REDUCTION)]])</f>
        <v>72578.75</v>
      </c>
    </row>
    <row r="20" spans="1:8" x14ac:dyDescent="0.25">
      <c r="A20" t="str">
        <f>"008163"</f>
        <v>008163</v>
      </c>
      <c r="B20" t="s">
        <v>21</v>
      </c>
      <c r="C20">
        <v>89</v>
      </c>
      <c r="D20" s="6">
        <v>38042.089999999997</v>
      </c>
      <c r="E20" s="6">
        <v>12553.89</v>
      </c>
      <c r="F20" s="6">
        <v>12553.89</v>
      </c>
      <c r="G20" s="6">
        <v>8711.64</v>
      </c>
      <c r="H20" s="6">
        <f>SUM(Table134[[#This Row],[NOVEMBER PAYMENT]:[MAY PAYMENT 
(BUDGET REDUCTION)]])</f>
        <v>33819.42</v>
      </c>
    </row>
    <row r="21" spans="1:8" x14ac:dyDescent="0.25">
      <c r="A21" t="str">
        <f>"008246"</f>
        <v>008246</v>
      </c>
      <c r="B21" t="s">
        <v>22</v>
      </c>
      <c r="C21">
        <v>115</v>
      </c>
      <c r="D21" s="6">
        <v>49155.51</v>
      </c>
      <c r="E21" s="6">
        <v>16221.32</v>
      </c>
      <c r="F21" s="6">
        <v>16221.32</v>
      </c>
      <c r="G21" s="6">
        <v>11256.61</v>
      </c>
      <c r="H21" s="6">
        <f>SUM(Table134[[#This Row],[NOVEMBER PAYMENT]:[MAY PAYMENT 
(BUDGET REDUCTION)]])</f>
        <v>43699.25</v>
      </c>
    </row>
    <row r="22" spans="1:8" x14ac:dyDescent="0.25">
      <c r="A22" t="str">
        <f>"008972"</f>
        <v>008972</v>
      </c>
      <c r="B22" t="s">
        <v>23</v>
      </c>
      <c r="C22">
        <v>14</v>
      </c>
      <c r="D22" s="6">
        <v>5984.15</v>
      </c>
      <c r="E22" s="6">
        <v>1974.77</v>
      </c>
      <c r="F22" s="6">
        <v>1974.77</v>
      </c>
      <c r="G22" s="6">
        <v>1370.37</v>
      </c>
      <c r="H22" s="6">
        <f>SUM(Table134[[#This Row],[NOVEMBER PAYMENT]:[MAY PAYMENT 
(BUDGET REDUCTION)]])</f>
        <v>5319.91</v>
      </c>
    </row>
    <row r="23" spans="1:8" x14ac:dyDescent="0.25">
      <c r="A23" t="str">
        <f>"008973"</f>
        <v>008973</v>
      </c>
      <c r="B23" t="s">
        <v>24</v>
      </c>
      <c r="C23">
        <v>36</v>
      </c>
      <c r="D23" s="6">
        <v>10976.08</v>
      </c>
      <c r="E23" s="6">
        <v>3622.11</v>
      </c>
      <c r="F23" s="6">
        <v>3622.1</v>
      </c>
      <c r="G23" s="6">
        <v>2513.5300000000002</v>
      </c>
      <c r="H23" s="6">
        <f>SUM(Table134[[#This Row],[NOVEMBER PAYMENT]:[MAY PAYMENT 
(BUDGET REDUCTION)]])</f>
        <v>9757.74</v>
      </c>
    </row>
    <row r="24" spans="1:8" x14ac:dyDescent="0.25">
      <c r="A24" t="str">
        <f>"009104"</f>
        <v>009104</v>
      </c>
      <c r="B24" t="s">
        <v>25</v>
      </c>
      <c r="C24">
        <v>44</v>
      </c>
      <c r="D24" s="6">
        <v>18807.330000000002</v>
      </c>
      <c r="E24" s="6">
        <v>6206.42</v>
      </c>
      <c r="F24" s="6">
        <v>6206.42</v>
      </c>
      <c r="G24" s="6">
        <v>4306.88</v>
      </c>
      <c r="H24" s="6">
        <f>SUM(Table134[[#This Row],[NOVEMBER PAYMENT]:[MAY PAYMENT 
(BUDGET REDUCTION)]])</f>
        <v>16719.72</v>
      </c>
    </row>
    <row r="25" spans="1:8" x14ac:dyDescent="0.25">
      <c r="A25" t="str">
        <f>"009124"</f>
        <v>009124</v>
      </c>
      <c r="B25" t="s">
        <v>26</v>
      </c>
      <c r="C25">
        <v>24</v>
      </c>
      <c r="D25" s="6">
        <v>9564.67</v>
      </c>
      <c r="E25" s="6">
        <v>3156.34</v>
      </c>
      <c r="F25" s="6">
        <v>3156.34</v>
      </c>
      <c r="G25" s="6">
        <v>2190.31</v>
      </c>
      <c r="H25" s="6">
        <f>SUM(Table134[[#This Row],[NOVEMBER PAYMENT]:[MAY PAYMENT 
(BUDGET REDUCTION)]])</f>
        <v>8502.99</v>
      </c>
    </row>
    <row r="26" spans="1:8" x14ac:dyDescent="0.25">
      <c r="A26" t="str">
        <f>"009270"</f>
        <v>009270</v>
      </c>
      <c r="B26" t="s">
        <v>27</v>
      </c>
      <c r="C26">
        <v>243</v>
      </c>
      <c r="D26" s="6">
        <v>103867.73</v>
      </c>
      <c r="E26" s="6">
        <v>34276.35</v>
      </c>
      <c r="F26" s="6">
        <v>34276.35</v>
      </c>
      <c r="G26" s="6">
        <v>23785.71</v>
      </c>
      <c r="H26" s="6">
        <f>SUM(Table134[[#This Row],[NOVEMBER PAYMENT]:[MAY PAYMENT 
(BUDGET REDUCTION)]])</f>
        <v>92338.41</v>
      </c>
    </row>
    <row r="27" spans="1:8" x14ac:dyDescent="0.25">
      <c r="A27" t="str">
        <f>"009374"</f>
        <v>009374</v>
      </c>
      <c r="B27" t="s">
        <v>28</v>
      </c>
      <c r="C27">
        <v>21</v>
      </c>
      <c r="D27" s="6">
        <v>8976.2199999999993</v>
      </c>
      <c r="E27" s="6">
        <v>2962.15</v>
      </c>
      <c r="F27" s="6">
        <v>2962.1600000000003</v>
      </c>
      <c r="G27" s="6">
        <v>2055.5500000000002</v>
      </c>
      <c r="H27" s="6">
        <f>SUM(Table134[[#This Row],[NOVEMBER PAYMENT]:[MAY PAYMENT 
(BUDGET REDUCTION)]])</f>
        <v>7979.8600000000006</v>
      </c>
    </row>
    <row r="28" spans="1:8" x14ac:dyDescent="0.25">
      <c r="A28" t="str">
        <f>"009435"</f>
        <v>009435</v>
      </c>
      <c r="B28" t="s">
        <v>29</v>
      </c>
      <c r="C28">
        <v>42</v>
      </c>
      <c r="D28" s="6">
        <v>17952.45</v>
      </c>
      <c r="E28" s="6">
        <v>5924.31</v>
      </c>
      <c r="F28" s="6">
        <v>5924.31</v>
      </c>
      <c r="G28" s="6">
        <v>4111.1099999999997</v>
      </c>
      <c r="H28" s="6">
        <f>SUM(Table134[[#This Row],[NOVEMBER PAYMENT]:[MAY PAYMENT 
(BUDGET REDUCTION)]])</f>
        <v>15959.73</v>
      </c>
    </row>
    <row r="29" spans="1:8" x14ac:dyDescent="0.25">
      <c r="A29" t="str">
        <f>"009443"</f>
        <v>009443</v>
      </c>
      <c r="B29" t="s">
        <v>30</v>
      </c>
      <c r="C29">
        <v>122</v>
      </c>
      <c r="D29" s="6">
        <v>52147.58</v>
      </c>
      <c r="E29" s="6">
        <v>17208.7</v>
      </c>
      <c r="F29" s="6">
        <v>17208.7</v>
      </c>
      <c r="G29" s="6">
        <v>11941.8</v>
      </c>
      <c r="H29" s="6">
        <f>SUM(Table134[[#This Row],[NOVEMBER PAYMENT]:[MAY PAYMENT 
(BUDGET REDUCTION)]])</f>
        <v>46359.199999999997</v>
      </c>
    </row>
    <row r="30" spans="1:8" x14ac:dyDescent="0.25">
      <c r="A30" t="str">
        <f>"009453"</f>
        <v>009453</v>
      </c>
      <c r="B30" t="s">
        <v>31</v>
      </c>
      <c r="C30">
        <v>145</v>
      </c>
      <c r="D30" s="6">
        <v>61978.69</v>
      </c>
      <c r="E30" s="6">
        <v>20452.97</v>
      </c>
      <c r="F30" s="6">
        <v>20452.97</v>
      </c>
      <c r="G30" s="6">
        <v>14193.12</v>
      </c>
      <c r="H30" s="6">
        <f>SUM(Table134[[#This Row],[NOVEMBER PAYMENT]:[MAY PAYMENT 
(BUDGET REDUCTION)]])</f>
        <v>55099.060000000005</v>
      </c>
    </row>
    <row r="31" spans="1:8" x14ac:dyDescent="0.25">
      <c r="A31" t="str">
        <f>"009467"</f>
        <v>009467</v>
      </c>
      <c r="B31" t="s">
        <v>32</v>
      </c>
      <c r="C31">
        <v>289</v>
      </c>
      <c r="D31" s="6">
        <v>116876.97</v>
      </c>
      <c r="E31" s="6">
        <v>38569.4</v>
      </c>
      <c r="F31" s="6">
        <v>38569.4</v>
      </c>
      <c r="G31" s="6">
        <v>26764.83</v>
      </c>
      <c r="H31" s="6">
        <f>SUM(Table134[[#This Row],[NOVEMBER PAYMENT]:[MAY PAYMENT 
(BUDGET REDUCTION)]])</f>
        <v>103903.63</v>
      </c>
    </row>
    <row r="32" spans="1:8" x14ac:dyDescent="0.25">
      <c r="A32" t="str">
        <f>"009484"</f>
        <v>009484</v>
      </c>
      <c r="B32" t="s">
        <v>33</v>
      </c>
      <c r="C32">
        <v>91</v>
      </c>
      <c r="D32" s="6">
        <v>38896.97</v>
      </c>
      <c r="E32" s="6">
        <v>12836</v>
      </c>
      <c r="F32" s="6">
        <v>12836</v>
      </c>
      <c r="G32" s="6">
        <v>8907.41</v>
      </c>
      <c r="H32" s="6">
        <f>SUM(Table134[[#This Row],[NOVEMBER PAYMENT]:[MAY PAYMENT 
(BUDGET REDUCTION)]])</f>
        <v>34579.410000000003</v>
      </c>
    </row>
    <row r="33" spans="1:8" x14ac:dyDescent="0.25">
      <c r="A33" t="str">
        <f>"009485"</f>
        <v>009485</v>
      </c>
      <c r="B33" t="s">
        <v>34</v>
      </c>
      <c r="C33">
        <v>202</v>
      </c>
      <c r="D33" s="6">
        <v>86342.720000000001</v>
      </c>
      <c r="E33" s="6">
        <v>28493.1</v>
      </c>
      <c r="F33" s="6">
        <v>28493.1</v>
      </c>
      <c r="G33" s="6">
        <v>19772.48</v>
      </c>
      <c r="H33" s="6">
        <f>SUM(Table134[[#This Row],[NOVEMBER PAYMENT]:[MAY PAYMENT 
(BUDGET REDUCTION)]])</f>
        <v>76758.679999999993</v>
      </c>
    </row>
    <row r="34" spans="1:8" x14ac:dyDescent="0.25">
      <c r="A34" t="str">
        <f>"010187"</f>
        <v>010187</v>
      </c>
      <c r="B34" t="s">
        <v>35</v>
      </c>
      <c r="C34">
        <v>103</v>
      </c>
      <c r="D34" s="6">
        <v>44026.239999999998</v>
      </c>
      <c r="E34" s="6">
        <v>14528.66</v>
      </c>
      <c r="F34" s="6">
        <v>14528.66</v>
      </c>
      <c r="G34" s="6">
        <v>10082.01</v>
      </c>
      <c r="H34" s="6">
        <f>SUM(Table134[[#This Row],[NOVEMBER PAYMENT]:[MAY PAYMENT 
(BUDGET REDUCTION)]])</f>
        <v>39139.33</v>
      </c>
    </row>
    <row r="35" spans="1:8" x14ac:dyDescent="0.25">
      <c r="A35" t="str">
        <f>"010203"</f>
        <v>010203</v>
      </c>
      <c r="B35" t="s">
        <v>36</v>
      </c>
      <c r="C35">
        <v>20</v>
      </c>
      <c r="D35" s="6">
        <v>8548.7800000000007</v>
      </c>
      <c r="E35" s="6">
        <v>2821.1</v>
      </c>
      <c r="F35" s="6">
        <v>2821.0899999999997</v>
      </c>
      <c r="G35" s="6">
        <v>1957.68</v>
      </c>
      <c r="H35" s="6">
        <f>SUM(Table134[[#This Row],[NOVEMBER PAYMENT]:[MAY PAYMENT 
(BUDGET REDUCTION)]])</f>
        <v>7599.87</v>
      </c>
    </row>
    <row r="36" spans="1:8" x14ac:dyDescent="0.25">
      <c r="A36" t="str">
        <f>"010210"</f>
        <v>010210</v>
      </c>
      <c r="B36" t="s">
        <v>37</v>
      </c>
      <c r="C36">
        <v>153</v>
      </c>
      <c r="D36" s="6">
        <v>65398.2</v>
      </c>
      <c r="E36" s="6">
        <v>21581.41</v>
      </c>
      <c r="F36" s="6">
        <v>21581.399999999998</v>
      </c>
      <c r="G36" s="6">
        <v>14976.19</v>
      </c>
      <c r="H36" s="6">
        <f>SUM(Table134[[#This Row],[NOVEMBER PAYMENT]:[MAY PAYMENT 
(BUDGET REDUCTION)]])</f>
        <v>58139</v>
      </c>
    </row>
    <row r="37" spans="1:8" x14ac:dyDescent="0.25">
      <c r="A37" t="str">
        <f>"010275"</f>
        <v>010275</v>
      </c>
      <c r="B37" t="s">
        <v>38</v>
      </c>
      <c r="C37">
        <v>237</v>
      </c>
      <c r="D37" s="6">
        <v>101303.09</v>
      </c>
      <c r="E37" s="6">
        <v>33430.019999999997</v>
      </c>
      <c r="F37" s="6">
        <v>33430.019999999997</v>
      </c>
      <c r="G37" s="6">
        <v>23198.41</v>
      </c>
      <c r="H37" s="6">
        <f>SUM(Table134[[#This Row],[NOVEMBER PAYMENT]:[MAY PAYMENT 
(BUDGET REDUCTION)]])</f>
        <v>90058.45</v>
      </c>
    </row>
    <row r="38" spans="1:8" x14ac:dyDescent="0.25">
      <c r="A38" t="str">
        <f>"010608"</f>
        <v>010608</v>
      </c>
      <c r="B38" t="s">
        <v>39</v>
      </c>
      <c r="C38">
        <v>123</v>
      </c>
      <c r="D38" s="6">
        <v>52575.02</v>
      </c>
      <c r="E38" s="6">
        <v>17349.759999999998</v>
      </c>
      <c r="F38" s="6">
        <v>17349.750000000004</v>
      </c>
      <c r="G38" s="6">
        <v>12039.68</v>
      </c>
      <c r="H38" s="6">
        <f>SUM(Table134[[#This Row],[NOVEMBER PAYMENT]:[MAY PAYMENT 
(BUDGET REDUCTION)]])</f>
        <v>46739.19</v>
      </c>
    </row>
    <row r="39" spans="1:8" x14ac:dyDescent="0.25">
      <c r="A39" t="str">
        <f>"011374"</f>
        <v>011374</v>
      </c>
      <c r="B39" t="s">
        <v>40</v>
      </c>
      <c r="C39">
        <v>43</v>
      </c>
      <c r="D39" s="6">
        <v>18379.89</v>
      </c>
      <c r="E39" s="6">
        <v>6065.36</v>
      </c>
      <c r="F39" s="6">
        <v>6065.37</v>
      </c>
      <c r="G39" s="6">
        <v>4208.99</v>
      </c>
      <c r="H39" s="6">
        <f>SUM(Table134[[#This Row],[NOVEMBER PAYMENT]:[MAY PAYMENT 
(BUDGET REDUCTION)]])</f>
        <v>16339.72</v>
      </c>
    </row>
    <row r="40" spans="1:8" x14ac:dyDescent="0.25">
      <c r="A40" t="str">
        <f>"011492"</f>
        <v>011492</v>
      </c>
      <c r="B40" t="s">
        <v>41</v>
      </c>
      <c r="C40">
        <v>168</v>
      </c>
      <c r="D40" s="6">
        <v>71809.789999999994</v>
      </c>
      <c r="E40" s="6">
        <v>23697.23</v>
      </c>
      <c r="F40" s="6">
        <v>23697.23</v>
      </c>
      <c r="G40" s="6">
        <v>16444.439999999999</v>
      </c>
      <c r="H40" s="6">
        <f>SUM(Table134[[#This Row],[NOVEMBER PAYMENT]:[MAY PAYMENT 
(BUDGET REDUCTION)]])</f>
        <v>63838.899999999994</v>
      </c>
    </row>
    <row r="41" spans="1:8" x14ac:dyDescent="0.25">
      <c r="A41" t="str">
        <f>"011576"</f>
        <v>011576</v>
      </c>
      <c r="B41" t="s">
        <v>42</v>
      </c>
      <c r="C41">
        <v>263</v>
      </c>
      <c r="D41" s="6">
        <v>112416.51</v>
      </c>
      <c r="E41" s="6">
        <v>37097.449999999997</v>
      </c>
      <c r="F41" s="6">
        <v>37097.449999999997</v>
      </c>
      <c r="G41" s="6">
        <v>25743.38</v>
      </c>
      <c r="H41" s="6">
        <f>SUM(Table134[[#This Row],[NOVEMBER PAYMENT]:[MAY PAYMENT 
(BUDGET REDUCTION)]])</f>
        <v>99938.28</v>
      </c>
    </row>
    <row r="42" spans="1:8" x14ac:dyDescent="0.25">
      <c r="A42" t="str">
        <f>"011933"</f>
        <v>011933</v>
      </c>
      <c r="B42" t="s">
        <v>44</v>
      </c>
      <c r="C42">
        <v>77</v>
      </c>
      <c r="D42" s="6">
        <v>32912.82</v>
      </c>
      <c r="E42" s="6">
        <v>10861.23</v>
      </c>
      <c r="F42" s="6">
        <v>10861.23</v>
      </c>
      <c r="G42" s="6">
        <v>7537.04</v>
      </c>
      <c r="H42" s="6">
        <f>SUM(Table134[[#This Row],[NOVEMBER PAYMENT]:[MAY PAYMENT 
(BUDGET REDUCTION)]])</f>
        <v>29259.5</v>
      </c>
    </row>
    <row r="43" spans="1:8" x14ac:dyDescent="0.25">
      <c r="A43" t="str">
        <f>"012008"</f>
        <v>012008</v>
      </c>
      <c r="B43" t="s">
        <v>45</v>
      </c>
      <c r="C43">
        <v>18</v>
      </c>
      <c r="D43" s="6">
        <v>7693.91</v>
      </c>
      <c r="E43" s="6">
        <v>2538.9899999999998</v>
      </c>
      <c r="F43" s="6">
        <v>2538.9899999999998</v>
      </c>
      <c r="G43" s="6">
        <v>1761.91</v>
      </c>
      <c r="H43" s="6">
        <f>SUM(Table134[[#This Row],[NOVEMBER PAYMENT]:[MAY PAYMENT 
(BUDGET REDUCTION)]])</f>
        <v>6839.8899999999994</v>
      </c>
    </row>
    <row r="44" spans="1:8" x14ac:dyDescent="0.25">
      <c r="A44" t="str">
        <f>"012508"</f>
        <v>012508</v>
      </c>
      <c r="B44" t="s">
        <v>46</v>
      </c>
      <c r="C44">
        <v>325</v>
      </c>
      <c r="D44" s="6">
        <v>138917.75</v>
      </c>
      <c r="E44" s="6">
        <v>45842.86</v>
      </c>
      <c r="F44" s="6">
        <v>45842.86</v>
      </c>
      <c r="G44" s="6">
        <v>31812.16</v>
      </c>
      <c r="H44" s="6">
        <f>SUM(Table134[[#This Row],[NOVEMBER PAYMENT]:[MAY PAYMENT 
(BUDGET REDUCTION)]])</f>
        <v>123497.88</v>
      </c>
    </row>
    <row r="45" spans="1:8" x14ac:dyDescent="0.25">
      <c r="A45" t="str">
        <f>"012522"</f>
        <v>012522</v>
      </c>
      <c r="B45" t="s">
        <v>47</v>
      </c>
      <c r="C45">
        <v>25</v>
      </c>
      <c r="D45" s="6">
        <v>10685.98</v>
      </c>
      <c r="E45" s="6">
        <v>3526.37</v>
      </c>
      <c r="F45" s="6">
        <v>3526.38</v>
      </c>
      <c r="G45" s="6">
        <v>2447.09</v>
      </c>
      <c r="H45" s="6">
        <f>SUM(Table134[[#This Row],[NOVEMBER PAYMENT]:[MAY PAYMENT 
(BUDGET REDUCTION)]])</f>
        <v>9499.84</v>
      </c>
    </row>
    <row r="46" spans="1:8" x14ac:dyDescent="0.25">
      <c r="A46" t="str">
        <f>"012900"</f>
        <v>012900</v>
      </c>
      <c r="B46" t="s">
        <v>48</v>
      </c>
      <c r="C46">
        <v>39</v>
      </c>
      <c r="D46" s="6">
        <v>12124.92</v>
      </c>
      <c r="E46" s="6">
        <v>4001.22</v>
      </c>
      <c r="F46" s="6">
        <v>4001.23</v>
      </c>
      <c r="G46" s="6">
        <v>2776.6</v>
      </c>
      <c r="H46" s="6">
        <f>SUM(Table134[[#This Row],[NOVEMBER PAYMENT]:[MAY PAYMENT 
(BUDGET REDUCTION)]])</f>
        <v>10779.05</v>
      </c>
    </row>
    <row r="47" spans="1:8" x14ac:dyDescent="0.25">
      <c r="A47" t="str">
        <f>"012974"</f>
        <v>012974</v>
      </c>
      <c r="B47" t="s">
        <v>49</v>
      </c>
      <c r="C47">
        <v>97</v>
      </c>
      <c r="D47" s="6">
        <v>41461.599999999999</v>
      </c>
      <c r="E47" s="6">
        <v>13682.33</v>
      </c>
      <c r="F47" s="6">
        <v>13682.33</v>
      </c>
      <c r="G47" s="6">
        <v>9494.7000000000007</v>
      </c>
      <c r="H47" s="6">
        <f>SUM(Table134[[#This Row],[NOVEMBER PAYMENT]:[MAY PAYMENT 
(BUDGET REDUCTION)]])</f>
        <v>36859.360000000001</v>
      </c>
    </row>
    <row r="48" spans="1:8" x14ac:dyDescent="0.25">
      <c r="A48" t="str">
        <f>"012975"</f>
        <v>012975</v>
      </c>
      <c r="B48" t="s">
        <v>50</v>
      </c>
      <c r="C48">
        <v>54</v>
      </c>
      <c r="D48" s="6">
        <v>23081.72</v>
      </c>
      <c r="E48" s="6">
        <v>7616.97</v>
      </c>
      <c r="F48" s="6">
        <v>7616.97</v>
      </c>
      <c r="G48" s="6">
        <v>5285.71</v>
      </c>
      <c r="H48" s="6">
        <f>SUM(Table134[[#This Row],[NOVEMBER PAYMENT]:[MAY PAYMENT 
(BUDGET REDUCTION)]])</f>
        <v>20519.650000000001</v>
      </c>
    </row>
    <row r="49" spans="1:8" x14ac:dyDescent="0.25">
      <c r="A49" t="str">
        <f>"013208"</f>
        <v>013208</v>
      </c>
      <c r="B49" t="s">
        <v>23</v>
      </c>
      <c r="C49">
        <v>34</v>
      </c>
      <c r="D49" s="6">
        <v>14532.93</v>
      </c>
      <c r="E49" s="6">
        <v>4795.87</v>
      </c>
      <c r="F49" s="6">
        <v>4795.8599999999997</v>
      </c>
      <c r="G49" s="6">
        <v>3328.04</v>
      </c>
      <c r="H49" s="6">
        <f>SUM(Table134[[#This Row],[NOVEMBER PAYMENT]:[MAY PAYMENT 
(BUDGET REDUCTION)]])</f>
        <v>12919.77</v>
      </c>
    </row>
    <row r="50" spans="1:8" x14ac:dyDescent="0.25">
      <c r="A50" t="str">
        <f>"013209"</f>
        <v>013209</v>
      </c>
      <c r="B50" t="s">
        <v>51</v>
      </c>
      <c r="C50">
        <v>211</v>
      </c>
      <c r="D50" s="6">
        <v>87807.13</v>
      </c>
      <c r="E50" s="6">
        <v>28976.35</v>
      </c>
      <c r="F50" s="6">
        <v>28976.36</v>
      </c>
      <c r="G50" s="6">
        <v>20107.830000000002</v>
      </c>
      <c r="H50" s="6">
        <f>SUM(Table134[[#This Row],[NOVEMBER PAYMENT]:[MAY PAYMENT 
(BUDGET REDUCTION)]])</f>
        <v>78060.540000000008</v>
      </c>
    </row>
    <row r="51" spans="1:8" x14ac:dyDescent="0.25">
      <c r="A51" t="str">
        <f>"013257"</f>
        <v>013257</v>
      </c>
      <c r="B51" t="s">
        <v>52</v>
      </c>
      <c r="C51">
        <v>35</v>
      </c>
      <c r="D51" s="6">
        <v>14960.37</v>
      </c>
      <c r="E51" s="6">
        <v>4936.92</v>
      </c>
      <c r="F51" s="6">
        <v>4936.92</v>
      </c>
      <c r="G51" s="6">
        <v>3425.93</v>
      </c>
      <c r="H51" s="6">
        <f>SUM(Table134[[#This Row],[NOVEMBER PAYMENT]:[MAY PAYMENT 
(BUDGET REDUCTION)]])</f>
        <v>13299.77</v>
      </c>
    </row>
    <row r="52" spans="1:8" x14ac:dyDescent="0.25">
      <c r="A52" t="str">
        <f>"013258"</f>
        <v>013258</v>
      </c>
      <c r="B52" t="s">
        <v>53</v>
      </c>
      <c r="C52">
        <v>59</v>
      </c>
      <c r="D52" s="6">
        <v>25218.91</v>
      </c>
      <c r="E52" s="6">
        <v>8322.24</v>
      </c>
      <c r="F52" s="6">
        <v>8322.24</v>
      </c>
      <c r="G52" s="6">
        <v>5775.13</v>
      </c>
      <c r="H52" s="6">
        <f>SUM(Table134[[#This Row],[NOVEMBER PAYMENT]:[MAY PAYMENT 
(BUDGET REDUCTION)]])</f>
        <v>22419.61</v>
      </c>
    </row>
    <row r="53" spans="1:8" x14ac:dyDescent="0.25">
      <c r="A53" t="str">
        <f>"014040"</f>
        <v>014040</v>
      </c>
      <c r="B53" t="s">
        <v>54</v>
      </c>
      <c r="C53">
        <v>399</v>
      </c>
      <c r="D53" s="6">
        <v>170548.25</v>
      </c>
      <c r="E53" s="6">
        <v>56280.92</v>
      </c>
      <c r="F53" s="6">
        <v>56280.930000000008</v>
      </c>
      <c r="G53" s="6">
        <v>39055.54</v>
      </c>
      <c r="H53" s="6">
        <f>SUM(Table134[[#This Row],[NOVEMBER PAYMENT]:[MAY PAYMENT 
(BUDGET REDUCTION)]])</f>
        <v>151617.39000000001</v>
      </c>
    </row>
    <row r="54" spans="1:8" x14ac:dyDescent="0.25">
      <c r="A54" t="str">
        <f>"014110"</f>
        <v>014110</v>
      </c>
      <c r="B54" t="s">
        <v>55</v>
      </c>
      <c r="C54">
        <v>182</v>
      </c>
      <c r="D54" s="6">
        <v>77793.94</v>
      </c>
      <c r="E54" s="6">
        <v>25672</v>
      </c>
      <c r="F54" s="6">
        <v>25672</v>
      </c>
      <c r="G54" s="6">
        <v>17814.810000000001</v>
      </c>
      <c r="H54" s="6">
        <f>SUM(Table134[[#This Row],[NOVEMBER PAYMENT]:[MAY PAYMENT 
(BUDGET REDUCTION)]])</f>
        <v>69158.81</v>
      </c>
    </row>
    <row r="55" spans="1:8" x14ac:dyDescent="0.25">
      <c r="A55" t="str">
        <f>"014140"</f>
        <v>014140</v>
      </c>
      <c r="B55" t="s">
        <v>56</v>
      </c>
      <c r="C55">
        <v>82</v>
      </c>
      <c r="D55" s="6">
        <v>35050.019999999997</v>
      </c>
      <c r="E55" s="6">
        <v>11566.51</v>
      </c>
      <c r="F55" s="6">
        <v>11566.499999999998</v>
      </c>
      <c r="G55" s="6">
        <v>8026.46</v>
      </c>
      <c r="H55" s="6">
        <f>SUM(Table134[[#This Row],[NOVEMBER PAYMENT]:[MAY PAYMENT 
(BUDGET REDUCTION)]])</f>
        <v>31159.469999999998</v>
      </c>
    </row>
    <row r="56" spans="1:8" x14ac:dyDescent="0.25">
      <c r="A56" t="str">
        <f>"014157"</f>
        <v>014157</v>
      </c>
      <c r="B56" t="s">
        <v>57</v>
      </c>
      <c r="C56">
        <v>228</v>
      </c>
      <c r="D56" s="6">
        <v>97456.14</v>
      </c>
      <c r="E56" s="6">
        <v>32160.53</v>
      </c>
      <c r="F56" s="6">
        <v>32160.520000000004</v>
      </c>
      <c r="G56" s="6">
        <v>22317.46</v>
      </c>
      <c r="H56" s="6">
        <f>SUM(Table134[[#This Row],[NOVEMBER PAYMENT]:[MAY PAYMENT 
(BUDGET REDUCTION)]])</f>
        <v>86638.510000000009</v>
      </c>
    </row>
    <row r="57" spans="1:8" x14ac:dyDescent="0.25">
      <c r="A57" t="str">
        <f>"014173"</f>
        <v>014173</v>
      </c>
      <c r="B57" t="s">
        <v>58</v>
      </c>
      <c r="C57">
        <v>37</v>
      </c>
      <c r="D57" s="6">
        <v>15815.25</v>
      </c>
      <c r="E57" s="6">
        <v>5219.03</v>
      </c>
      <c r="F57" s="6">
        <v>5219.04</v>
      </c>
      <c r="G57" s="6">
        <v>3621.69</v>
      </c>
      <c r="H57" s="6">
        <f>SUM(Table134[[#This Row],[NOVEMBER PAYMENT]:[MAY PAYMENT 
(BUDGET REDUCTION)]])</f>
        <v>14059.76</v>
      </c>
    </row>
    <row r="58" spans="1:8" x14ac:dyDescent="0.25">
      <c r="A58" t="str">
        <f>"015179"</f>
        <v>015179</v>
      </c>
      <c r="B58" t="s">
        <v>59</v>
      </c>
      <c r="C58">
        <v>20</v>
      </c>
      <c r="D58" s="6">
        <v>8548.7800000000007</v>
      </c>
      <c r="E58" s="6">
        <v>2821.1</v>
      </c>
      <c r="F58" s="6">
        <v>2821.0899999999997</v>
      </c>
      <c r="G58" s="6">
        <v>1957.68</v>
      </c>
      <c r="H58" s="6">
        <f>SUM(Table134[[#This Row],[NOVEMBER PAYMENT]:[MAY PAYMENT 
(BUDGET REDUCTION)]])</f>
        <v>7599.87</v>
      </c>
    </row>
    <row r="59" spans="1:8" x14ac:dyDescent="0.25">
      <c r="A59" t="str">
        <f>"015331"</f>
        <v>015331</v>
      </c>
      <c r="B59" t="s">
        <v>60</v>
      </c>
      <c r="C59">
        <v>111</v>
      </c>
      <c r="D59" s="6">
        <v>47445.75</v>
      </c>
      <c r="E59" s="6">
        <v>15657.1</v>
      </c>
      <c r="F59" s="6">
        <v>15657.1</v>
      </c>
      <c r="G59" s="6">
        <v>10865.07</v>
      </c>
      <c r="H59" s="6">
        <f>SUM(Table134[[#This Row],[NOVEMBER PAYMENT]:[MAY PAYMENT 
(BUDGET REDUCTION)]])</f>
        <v>42179.270000000004</v>
      </c>
    </row>
    <row r="60" spans="1:8" x14ac:dyDescent="0.25">
      <c r="A60" t="str">
        <f>"015374"</f>
        <v>015374</v>
      </c>
      <c r="B60" t="s">
        <v>61</v>
      </c>
      <c r="C60">
        <v>15</v>
      </c>
      <c r="D60" s="6">
        <v>4341.4799999999996</v>
      </c>
      <c r="E60" s="6">
        <v>1432.69</v>
      </c>
      <c r="F60" s="6">
        <v>1432.69</v>
      </c>
      <c r="G60" s="6">
        <v>994.2</v>
      </c>
      <c r="H60" s="6">
        <f>SUM(Table134[[#This Row],[NOVEMBER PAYMENT]:[MAY PAYMENT 
(BUDGET REDUCTION)]])</f>
        <v>3859.58</v>
      </c>
    </row>
    <row r="61" spans="1:8" x14ac:dyDescent="0.25">
      <c r="A61" t="str">
        <f>"015489"</f>
        <v>015489</v>
      </c>
      <c r="B61" t="s">
        <v>62</v>
      </c>
      <c r="C61">
        <v>42</v>
      </c>
      <c r="D61" s="6">
        <v>17952.45</v>
      </c>
      <c r="E61" s="6">
        <v>5924.31</v>
      </c>
      <c r="F61" s="6">
        <v>5924.31</v>
      </c>
      <c r="G61" s="6">
        <v>4111.1099999999997</v>
      </c>
      <c r="H61" s="6">
        <f>SUM(Table134[[#This Row],[NOVEMBER PAYMENT]:[MAY PAYMENT 
(BUDGET REDUCTION)]])</f>
        <v>15959.73</v>
      </c>
    </row>
    <row r="62" spans="1:8" x14ac:dyDescent="0.25">
      <c r="A62" t="str">
        <f>"015521"</f>
        <v>015521</v>
      </c>
      <c r="B62" t="s">
        <v>63</v>
      </c>
      <c r="C62">
        <v>93</v>
      </c>
      <c r="D62" s="6">
        <v>39751.85</v>
      </c>
      <c r="E62" s="6">
        <v>13118.11</v>
      </c>
      <c r="F62" s="6">
        <v>13118.11</v>
      </c>
      <c r="G62" s="6">
        <v>9103.17</v>
      </c>
      <c r="H62" s="6">
        <f>SUM(Table134[[#This Row],[NOVEMBER PAYMENT]:[MAY PAYMENT 
(BUDGET REDUCTION)]])</f>
        <v>35339.39</v>
      </c>
    </row>
    <row r="63" spans="1:8" x14ac:dyDescent="0.25">
      <c r="A63" t="str">
        <f>"015557"</f>
        <v>015557</v>
      </c>
      <c r="B63" t="s">
        <v>64</v>
      </c>
      <c r="C63">
        <v>21</v>
      </c>
      <c r="D63" s="6">
        <v>8976.2199999999993</v>
      </c>
      <c r="E63" s="6">
        <v>2962.15</v>
      </c>
      <c r="F63" s="6">
        <v>2962.1600000000003</v>
      </c>
      <c r="G63" s="6">
        <v>2055.5500000000002</v>
      </c>
      <c r="H63" s="6">
        <f>SUM(Table134[[#This Row],[NOVEMBER PAYMENT]:[MAY PAYMENT 
(BUDGET REDUCTION)]])</f>
        <v>7979.8600000000006</v>
      </c>
    </row>
    <row r="64" spans="1:8" x14ac:dyDescent="0.25">
      <c r="A64" t="str">
        <f>"015696"</f>
        <v>015696</v>
      </c>
      <c r="B64" t="s">
        <v>65</v>
      </c>
      <c r="C64">
        <v>61</v>
      </c>
      <c r="D64" s="6">
        <v>26073.79</v>
      </c>
      <c r="E64" s="6">
        <v>8604.35</v>
      </c>
      <c r="F64" s="6">
        <v>8604.35</v>
      </c>
      <c r="G64" s="6">
        <v>5970.9</v>
      </c>
      <c r="H64" s="6">
        <f>SUM(Table134[[#This Row],[NOVEMBER PAYMENT]:[MAY PAYMENT 
(BUDGET REDUCTION)]])</f>
        <v>23179.599999999999</v>
      </c>
    </row>
    <row r="65" spans="1:8" x14ac:dyDescent="0.25">
      <c r="A65" t="str">
        <f>"016119"</f>
        <v>016119</v>
      </c>
      <c r="B65" t="s">
        <v>66</v>
      </c>
      <c r="C65">
        <v>58</v>
      </c>
      <c r="D65" s="6">
        <v>24791.47</v>
      </c>
      <c r="E65" s="6">
        <v>8181.19</v>
      </c>
      <c r="F65" s="6">
        <v>8181.1800000000012</v>
      </c>
      <c r="G65" s="6">
        <v>5677.25</v>
      </c>
      <c r="H65" s="6">
        <f>SUM(Table134[[#This Row],[NOVEMBER PAYMENT]:[MAY PAYMENT 
(BUDGET REDUCTION)]])</f>
        <v>22039.620000000003</v>
      </c>
    </row>
    <row r="66" spans="1:8" x14ac:dyDescent="0.25">
      <c r="A66" t="str">
        <f>"016431"</f>
        <v>016431</v>
      </c>
      <c r="B66" t="s">
        <v>67</v>
      </c>
      <c r="C66">
        <v>25</v>
      </c>
      <c r="D66" s="6">
        <v>10685.98</v>
      </c>
      <c r="E66" s="6">
        <v>3526.37</v>
      </c>
      <c r="F66" s="6">
        <v>3526.38</v>
      </c>
      <c r="G66" s="6">
        <v>2447.09</v>
      </c>
      <c r="H66" s="6">
        <f>SUM(Table134[[#This Row],[NOVEMBER PAYMENT]:[MAY PAYMENT 
(BUDGET REDUCTION)]])</f>
        <v>9499.84</v>
      </c>
    </row>
    <row r="67" spans="1:8" x14ac:dyDescent="0.25">
      <c r="A67" t="str">
        <f>"016433"</f>
        <v>016433</v>
      </c>
      <c r="B67" t="s">
        <v>68</v>
      </c>
      <c r="C67">
        <v>50</v>
      </c>
      <c r="D67" s="6">
        <v>21371.96</v>
      </c>
      <c r="E67" s="6">
        <v>7052.75</v>
      </c>
      <c r="F67" s="6">
        <v>7052.74</v>
      </c>
      <c r="G67" s="6">
        <v>4894.18</v>
      </c>
      <c r="H67" s="6">
        <f>SUM(Table134[[#This Row],[NOVEMBER PAYMENT]:[MAY PAYMENT 
(BUDGET REDUCTION)]])</f>
        <v>18999.669999999998</v>
      </c>
    </row>
    <row r="68" spans="1:8" x14ac:dyDescent="0.25">
      <c r="A68" t="str">
        <f>"016680"</f>
        <v>016680</v>
      </c>
      <c r="B68" t="s">
        <v>69</v>
      </c>
      <c r="C68">
        <v>79</v>
      </c>
      <c r="D68" s="6">
        <v>33767.699999999997</v>
      </c>
      <c r="E68" s="6">
        <v>11143.34</v>
      </c>
      <c r="F68" s="6">
        <v>11143.34</v>
      </c>
      <c r="G68" s="6">
        <v>7732.81</v>
      </c>
      <c r="H68" s="6">
        <f>SUM(Table134[[#This Row],[NOVEMBER PAYMENT]:[MAY PAYMENT 
(BUDGET REDUCTION)]])</f>
        <v>30019.49</v>
      </c>
    </row>
    <row r="69" spans="1:8" x14ac:dyDescent="0.25">
      <c r="A69" t="str">
        <f>"016689"</f>
        <v>016689</v>
      </c>
      <c r="B69" t="s">
        <v>70</v>
      </c>
      <c r="C69">
        <v>112</v>
      </c>
      <c r="D69" s="6">
        <v>47873.19</v>
      </c>
      <c r="E69" s="6">
        <v>15798.15</v>
      </c>
      <c r="F69" s="6">
        <v>15798.160000000002</v>
      </c>
      <c r="G69" s="6">
        <v>10962.96</v>
      </c>
      <c r="H69" s="6">
        <f>SUM(Table134[[#This Row],[NOVEMBER PAYMENT]:[MAY PAYMENT 
(BUDGET REDUCTION)]])</f>
        <v>42559.270000000004</v>
      </c>
    </row>
    <row r="70" spans="1:8" x14ac:dyDescent="0.25">
      <c r="A70" t="str">
        <f>"016719"</f>
        <v>016719</v>
      </c>
      <c r="B70" t="s">
        <v>71</v>
      </c>
      <c r="C70">
        <v>55</v>
      </c>
      <c r="D70" s="6">
        <v>23509.16</v>
      </c>
      <c r="E70" s="6">
        <v>7758.02</v>
      </c>
      <c r="F70" s="6">
        <v>7758.0299999999988</v>
      </c>
      <c r="G70" s="6">
        <v>5383.59</v>
      </c>
      <c r="H70" s="6">
        <f>SUM(Table134[[#This Row],[NOVEMBER PAYMENT]:[MAY PAYMENT 
(BUDGET REDUCTION)]])</f>
        <v>20899.64</v>
      </c>
    </row>
    <row r="71" spans="1:8" x14ac:dyDescent="0.25">
      <c r="A71" t="str">
        <f>"016974"</f>
        <v>016974</v>
      </c>
      <c r="B71" t="s">
        <v>72</v>
      </c>
      <c r="C71">
        <v>50</v>
      </c>
      <c r="D71" s="6">
        <v>21371.96</v>
      </c>
      <c r="E71" s="6">
        <v>7052.75</v>
      </c>
      <c r="F71" s="6">
        <v>7052.74</v>
      </c>
      <c r="G71" s="6">
        <v>4894.18</v>
      </c>
      <c r="H71" s="6">
        <f>SUM(Table134[[#This Row],[NOVEMBER PAYMENT]:[MAY PAYMENT 
(BUDGET REDUCTION)]])</f>
        <v>18999.669999999998</v>
      </c>
    </row>
    <row r="72" spans="1:8" x14ac:dyDescent="0.25">
      <c r="A72" t="str">
        <f>"016978"</f>
        <v>016978</v>
      </c>
      <c r="B72" t="s">
        <v>73</v>
      </c>
      <c r="C72">
        <v>27</v>
      </c>
      <c r="D72" s="6">
        <v>11540.86</v>
      </c>
      <c r="E72" s="6">
        <v>3808.48</v>
      </c>
      <c r="F72" s="6">
        <v>3808.4900000000002</v>
      </c>
      <c r="G72" s="6">
        <v>2642.85</v>
      </c>
      <c r="H72" s="6">
        <f>SUM(Table134[[#This Row],[NOVEMBER PAYMENT]:[MAY PAYMENT 
(BUDGET REDUCTION)]])</f>
        <v>10259.82</v>
      </c>
    </row>
    <row r="73" spans="1:8" x14ac:dyDescent="0.25">
      <c r="A73" t="str">
        <f>"017029"</f>
        <v>017029</v>
      </c>
      <c r="B73" t="s">
        <v>74</v>
      </c>
      <c r="C73">
        <v>36</v>
      </c>
      <c r="D73" s="6">
        <v>15387.81</v>
      </c>
      <c r="E73" s="6">
        <v>5077.9799999999996</v>
      </c>
      <c r="F73" s="6">
        <v>5077.9700000000012</v>
      </c>
      <c r="G73" s="6">
        <v>3523.81</v>
      </c>
      <c r="H73" s="6">
        <f>SUM(Table134[[#This Row],[NOVEMBER PAYMENT]:[MAY PAYMENT 
(BUDGET REDUCTION)]])</f>
        <v>13679.76</v>
      </c>
    </row>
    <row r="74" spans="1:8" x14ac:dyDescent="0.25">
      <c r="A74" t="str">
        <f>"017030"</f>
        <v>017030</v>
      </c>
      <c r="B74" t="s">
        <v>75</v>
      </c>
      <c r="C74">
        <v>107</v>
      </c>
      <c r="D74" s="6">
        <v>45736</v>
      </c>
      <c r="E74" s="6">
        <v>15092.88</v>
      </c>
      <c r="F74" s="6">
        <v>15092.88</v>
      </c>
      <c r="G74" s="6">
        <v>10473.540000000001</v>
      </c>
      <c r="H74" s="6">
        <f>SUM(Table134[[#This Row],[NOVEMBER PAYMENT]:[MAY PAYMENT 
(BUDGET REDUCTION)]])</f>
        <v>40659.300000000003</v>
      </c>
    </row>
    <row r="75" spans="1:8" x14ac:dyDescent="0.25">
      <c r="A75" t="str">
        <f>"017151"</f>
        <v>017151</v>
      </c>
      <c r="B75" t="s">
        <v>76</v>
      </c>
      <c r="C75">
        <v>132</v>
      </c>
      <c r="D75" s="6">
        <v>56421.98</v>
      </c>
      <c r="E75" s="6">
        <v>18619.25</v>
      </c>
      <c r="F75" s="6">
        <v>18619.260000000002</v>
      </c>
      <c r="G75" s="6">
        <v>12920.63</v>
      </c>
      <c r="H75" s="6">
        <f>SUM(Table134[[#This Row],[NOVEMBER PAYMENT]:[MAY PAYMENT 
(BUDGET REDUCTION)]])</f>
        <v>50159.14</v>
      </c>
    </row>
    <row r="76" spans="1:8" x14ac:dyDescent="0.25">
      <c r="A76" t="str">
        <f>"017153"</f>
        <v>017153</v>
      </c>
      <c r="B76" t="s">
        <v>77</v>
      </c>
      <c r="C76">
        <v>17</v>
      </c>
      <c r="D76" s="6">
        <v>7266.47</v>
      </c>
      <c r="E76" s="6">
        <v>2397.94</v>
      </c>
      <c r="F76" s="6">
        <v>2397.9299999999998</v>
      </c>
      <c r="G76" s="6">
        <v>1664.02</v>
      </c>
      <c r="H76" s="6">
        <f>SUM(Table134[[#This Row],[NOVEMBER PAYMENT]:[MAY PAYMENT 
(BUDGET REDUCTION)]])</f>
        <v>6459.8899999999994</v>
      </c>
    </row>
    <row r="77" spans="1:8" x14ac:dyDescent="0.25">
      <c r="A77" t="str">
        <f>"017161"</f>
        <v>017161</v>
      </c>
      <c r="B77" t="s">
        <v>78</v>
      </c>
      <c r="C77">
        <v>7</v>
      </c>
      <c r="D77" s="6">
        <v>2992.07</v>
      </c>
      <c r="E77" s="6">
        <v>987.38</v>
      </c>
      <c r="F77" s="6">
        <v>987.39</v>
      </c>
      <c r="G77" s="6">
        <v>685.18</v>
      </c>
      <c r="H77" s="6">
        <f>SUM(Table134[[#This Row],[NOVEMBER PAYMENT]:[MAY PAYMENT 
(BUDGET REDUCTION)]])</f>
        <v>2659.95</v>
      </c>
    </row>
    <row r="78" spans="1:8" x14ac:dyDescent="0.25">
      <c r="A78" t="str">
        <f>"017232"</f>
        <v>017232</v>
      </c>
      <c r="B78" t="s">
        <v>79</v>
      </c>
      <c r="C78">
        <v>9</v>
      </c>
      <c r="D78" s="6">
        <v>3846.95</v>
      </c>
      <c r="E78" s="6">
        <v>1269.49</v>
      </c>
      <c r="F78" s="6">
        <v>1269.4999999999998</v>
      </c>
      <c r="G78" s="6">
        <v>880.95</v>
      </c>
      <c r="H78" s="6">
        <f>SUM(Table134[[#This Row],[NOVEMBER PAYMENT]:[MAY PAYMENT 
(BUDGET REDUCTION)]])</f>
        <v>3419.9399999999996</v>
      </c>
    </row>
    <row r="79" spans="1:8" x14ac:dyDescent="0.25">
      <c r="A79" t="str">
        <f>"017388"</f>
        <v>017388</v>
      </c>
      <c r="B79" t="s">
        <v>80</v>
      </c>
      <c r="C79">
        <v>44</v>
      </c>
      <c r="D79" s="6">
        <v>10829.67</v>
      </c>
      <c r="E79" s="6">
        <v>3573.79</v>
      </c>
      <c r="F79" s="6">
        <v>3573.79</v>
      </c>
      <c r="G79" s="6">
        <v>2480</v>
      </c>
      <c r="H79" s="6">
        <f>SUM(Table134[[#This Row],[NOVEMBER PAYMENT]:[MAY PAYMENT 
(BUDGET REDUCTION)]])</f>
        <v>9627.58</v>
      </c>
    </row>
    <row r="80" spans="1:8" x14ac:dyDescent="0.25">
      <c r="A80" t="str">
        <f>"017431"</f>
        <v>017431</v>
      </c>
      <c r="B80" t="s">
        <v>81</v>
      </c>
      <c r="C80">
        <v>10</v>
      </c>
      <c r="D80" s="6">
        <v>4274.3900000000003</v>
      </c>
      <c r="E80" s="6">
        <v>1410.55</v>
      </c>
      <c r="F80" s="6">
        <v>1410.55</v>
      </c>
      <c r="G80" s="6">
        <v>978.83</v>
      </c>
      <c r="H80" s="6">
        <f>SUM(Table134[[#This Row],[NOVEMBER PAYMENT]:[MAY PAYMENT 
(BUDGET REDUCTION)]])</f>
        <v>3799.93</v>
      </c>
    </row>
    <row r="81" spans="1:8" x14ac:dyDescent="0.25">
      <c r="A81" t="str">
        <f>"052613"</f>
        <v>052613</v>
      </c>
      <c r="B81" t="s">
        <v>84</v>
      </c>
      <c r="C81">
        <v>257</v>
      </c>
      <c r="D81" s="6">
        <v>109851.88</v>
      </c>
      <c r="E81" s="6">
        <v>36251.120000000003</v>
      </c>
      <c r="F81" s="6">
        <v>36251.120000000003</v>
      </c>
      <c r="G81" s="6">
        <v>25156.080000000002</v>
      </c>
      <c r="H81" s="6">
        <f>SUM(Table134[[#This Row],[NOVEMBER PAYMENT]:[MAY PAYMENT 
(BUDGET REDUCTION)]])</f>
        <v>97658.32</v>
      </c>
    </row>
    <row r="82" spans="1:8" x14ac:dyDescent="0.25">
      <c r="A82" t="str">
        <f>"052621"</f>
        <v>052621</v>
      </c>
      <c r="B82" t="s">
        <v>85</v>
      </c>
      <c r="C82">
        <v>605</v>
      </c>
      <c r="D82" s="6">
        <v>258600.73</v>
      </c>
      <c r="E82" s="6">
        <v>85338.240000000005</v>
      </c>
      <c r="F82" s="6">
        <v>85338.240000000005</v>
      </c>
      <c r="G82" s="6">
        <v>59219.57</v>
      </c>
      <c r="H82" s="6">
        <f>SUM(Table134[[#This Row],[NOVEMBER PAYMENT]:[MAY PAYMENT 
(BUDGET REDUCTION)]])</f>
        <v>229896.05000000002</v>
      </c>
    </row>
    <row r="83" spans="1:8" x14ac:dyDescent="0.25">
      <c r="A83" t="str">
        <f>"052639"</f>
        <v>052639</v>
      </c>
      <c r="B83" t="s">
        <v>86</v>
      </c>
      <c r="C83">
        <v>836</v>
      </c>
      <c r="D83" s="6">
        <v>357339.19</v>
      </c>
      <c r="E83" s="6">
        <v>117921.93</v>
      </c>
      <c r="F83" s="6">
        <v>117921.94</v>
      </c>
      <c r="G83" s="6">
        <v>81830.67</v>
      </c>
      <c r="H83" s="6">
        <f>SUM(Table134[[#This Row],[NOVEMBER PAYMENT]:[MAY PAYMENT 
(BUDGET REDUCTION)]])</f>
        <v>317674.53999999998</v>
      </c>
    </row>
    <row r="84" spans="1:8" x14ac:dyDescent="0.25">
      <c r="A84" t="str">
        <f>"052647"</f>
        <v>052647</v>
      </c>
      <c r="B84" t="s">
        <v>87</v>
      </c>
      <c r="C84">
        <v>608</v>
      </c>
      <c r="D84" s="6">
        <v>259883.05</v>
      </c>
      <c r="E84" s="6">
        <v>85761.41</v>
      </c>
      <c r="F84" s="6">
        <v>85761.4</v>
      </c>
      <c r="G84" s="6">
        <v>59513.22</v>
      </c>
      <c r="H84" s="6">
        <f>SUM(Table134[[#This Row],[NOVEMBER PAYMENT]:[MAY PAYMENT 
(BUDGET REDUCTION)]])</f>
        <v>231036.03</v>
      </c>
    </row>
    <row r="85" spans="1:8" x14ac:dyDescent="0.25">
      <c r="A85" t="str">
        <f>"052654"</f>
        <v>052654</v>
      </c>
      <c r="B85" t="s">
        <v>88</v>
      </c>
      <c r="C85">
        <v>311</v>
      </c>
      <c r="D85" s="6">
        <v>132933.6</v>
      </c>
      <c r="E85" s="6">
        <v>43868.09</v>
      </c>
      <c r="F85" s="6">
        <v>43868.09</v>
      </c>
      <c r="G85" s="6">
        <v>30441.79</v>
      </c>
      <c r="H85" s="6">
        <f>SUM(Table134[[#This Row],[NOVEMBER PAYMENT]:[MAY PAYMENT 
(BUDGET REDUCTION)]])</f>
        <v>118177.97</v>
      </c>
    </row>
    <row r="86" spans="1:8" x14ac:dyDescent="0.25">
      <c r="A86" t="str">
        <f>"052662"</f>
        <v>052662</v>
      </c>
      <c r="B86" t="s">
        <v>89</v>
      </c>
      <c r="C86">
        <v>343</v>
      </c>
      <c r="D86" s="6">
        <v>146611.65</v>
      </c>
      <c r="E86" s="6">
        <v>48381.84</v>
      </c>
      <c r="F86" s="6">
        <v>48381.850000000006</v>
      </c>
      <c r="G86" s="6">
        <v>33574.07</v>
      </c>
      <c r="H86" s="6">
        <f>SUM(Table134[[#This Row],[NOVEMBER PAYMENT]:[MAY PAYMENT 
(BUDGET REDUCTION)]])</f>
        <v>130337.76000000001</v>
      </c>
    </row>
    <row r="87" spans="1:8" x14ac:dyDescent="0.25">
      <c r="A87" t="str">
        <f>"052670"</f>
        <v>052670</v>
      </c>
      <c r="B87" t="s">
        <v>90</v>
      </c>
      <c r="C87">
        <v>165</v>
      </c>
      <c r="D87" s="6">
        <v>64605.56</v>
      </c>
      <c r="E87" s="6">
        <v>21319.83</v>
      </c>
      <c r="F87" s="6">
        <v>21319.839999999997</v>
      </c>
      <c r="G87" s="6">
        <v>14794.67</v>
      </c>
      <c r="H87" s="6">
        <f>SUM(Table134[[#This Row],[NOVEMBER PAYMENT]:[MAY PAYMENT 
(BUDGET REDUCTION)]])</f>
        <v>57434.34</v>
      </c>
    </row>
    <row r="88" spans="1:8" x14ac:dyDescent="0.25">
      <c r="A88" t="str">
        <f>"052696"</f>
        <v>052696</v>
      </c>
      <c r="B88" t="s">
        <v>91</v>
      </c>
      <c r="C88">
        <v>686</v>
      </c>
      <c r="D88" s="6">
        <v>293223.3</v>
      </c>
      <c r="E88" s="6">
        <v>96763.69</v>
      </c>
      <c r="F88" s="6">
        <v>96763.69</v>
      </c>
      <c r="G88" s="6">
        <v>67148.13</v>
      </c>
      <c r="H88" s="6">
        <f>SUM(Table134[[#This Row],[NOVEMBER PAYMENT]:[MAY PAYMENT 
(BUDGET REDUCTION)]])</f>
        <v>260675.51</v>
      </c>
    </row>
    <row r="89" spans="1:8" x14ac:dyDescent="0.25">
      <c r="A89" t="str">
        <f>"052704"</f>
        <v>052704</v>
      </c>
      <c r="B89" t="s">
        <v>92</v>
      </c>
      <c r="C89">
        <v>392</v>
      </c>
      <c r="D89" s="6">
        <v>167556.17000000001</v>
      </c>
      <c r="E89" s="6">
        <v>55293.54</v>
      </c>
      <c r="F89" s="6">
        <v>55293.530000000006</v>
      </c>
      <c r="G89" s="6">
        <v>38370.370000000003</v>
      </c>
      <c r="H89" s="6">
        <f>SUM(Table134[[#This Row],[NOVEMBER PAYMENT]:[MAY PAYMENT 
(BUDGET REDUCTION)]])</f>
        <v>148957.44</v>
      </c>
    </row>
    <row r="90" spans="1:8" x14ac:dyDescent="0.25">
      <c r="A90" t="str">
        <f>"052712"</f>
        <v>052712</v>
      </c>
      <c r="B90" t="s">
        <v>93</v>
      </c>
      <c r="C90">
        <v>124</v>
      </c>
      <c r="D90" s="6">
        <v>53002.46</v>
      </c>
      <c r="E90" s="6">
        <v>17490.810000000001</v>
      </c>
      <c r="F90" s="6">
        <v>17490.810000000001</v>
      </c>
      <c r="G90" s="6">
        <v>12137.57</v>
      </c>
      <c r="H90" s="6">
        <f>SUM(Table134[[#This Row],[NOVEMBER PAYMENT]:[MAY PAYMENT 
(BUDGET REDUCTION)]])</f>
        <v>47119.19</v>
      </c>
    </row>
    <row r="91" spans="1:8" x14ac:dyDescent="0.25">
      <c r="A91" t="str">
        <f>"052720"</f>
        <v>052720</v>
      </c>
      <c r="B91" t="s">
        <v>94</v>
      </c>
      <c r="C91">
        <v>904</v>
      </c>
      <c r="D91" s="6">
        <v>386405.05</v>
      </c>
      <c r="E91" s="6">
        <v>127513.67</v>
      </c>
      <c r="F91" s="6">
        <v>127513.65999999999</v>
      </c>
      <c r="G91" s="6">
        <v>88486.76</v>
      </c>
      <c r="H91" s="6">
        <f>SUM(Table134[[#This Row],[NOVEMBER PAYMENT]:[MAY PAYMENT 
(BUDGET REDUCTION)]])</f>
        <v>343514.08999999997</v>
      </c>
    </row>
    <row r="92" spans="1:8" x14ac:dyDescent="0.25">
      <c r="A92" t="str">
        <f>"052779"</f>
        <v>052779</v>
      </c>
      <c r="B92" t="s">
        <v>95</v>
      </c>
      <c r="C92">
        <v>436</v>
      </c>
      <c r="D92" s="6">
        <v>186363.5</v>
      </c>
      <c r="E92" s="6">
        <v>61499.96</v>
      </c>
      <c r="F92" s="6">
        <v>61499.950000000004</v>
      </c>
      <c r="G92" s="6">
        <v>42677.24</v>
      </c>
      <c r="H92" s="6">
        <f>SUM(Table134[[#This Row],[NOVEMBER PAYMENT]:[MAY PAYMENT 
(BUDGET REDUCTION)]])</f>
        <v>165677.15</v>
      </c>
    </row>
    <row r="93" spans="1:8" x14ac:dyDescent="0.25">
      <c r="A93" t="str">
        <f>"052787"</f>
        <v>052787</v>
      </c>
      <c r="B93" t="s">
        <v>96</v>
      </c>
      <c r="C93">
        <v>423</v>
      </c>
      <c r="D93" s="6">
        <v>180806.79</v>
      </c>
      <c r="E93" s="6">
        <v>59666.239999999998</v>
      </c>
      <c r="F93" s="6">
        <v>59666.239999999998</v>
      </c>
      <c r="G93" s="6">
        <v>41404.76</v>
      </c>
      <c r="H93" s="6">
        <f>SUM(Table134[[#This Row],[NOVEMBER PAYMENT]:[MAY PAYMENT 
(BUDGET REDUCTION)]])</f>
        <v>160737.24</v>
      </c>
    </row>
    <row r="94" spans="1:8" x14ac:dyDescent="0.25">
      <c r="A94" t="str">
        <f>"052795"</f>
        <v>052795</v>
      </c>
      <c r="B94" t="s">
        <v>97</v>
      </c>
      <c r="C94">
        <v>422</v>
      </c>
      <c r="D94" s="6">
        <v>180379.35</v>
      </c>
      <c r="E94" s="6">
        <v>59525.19</v>
      </c>
      <c r="F94" s="6">
        <v>59525.179999999993</v>
      </c>
      <c r="G94" s="6">
        <v>41306.870000000003</v>
      </c>
      <c r="H94" s="6">
        <f>SUM(Table134[[#This Row],[NOVEMBER PAYMENT]:[MAY PAYMENT 
(BUDGET REDUCTION)]])</f>
        <v>160357.24</v>
      </c>
    </row>
    <row r="95" spans="1:8" x14ac:dyDescent="0.25">
      <c r="A95" t="str">
        <f>"052803"</f>
        <v>052803</v>
      </c>
      <c r="B95" t="s">
        <v>98</v>
      </c>
      <c r="C95">
        <v>766</v>
      </c>
      <c r="D95" s="6">
        <v>327418.44</v>
      </c>
      <c r="E95" s="6">
        <v>108048.09</v>
      </c>
      <c r="F95" s="6">
        <v>108048.08000000002</v>
      </c>
      <c r="G95" s="6">
        <v>74978.820000000007</v>
      </c>
      <c r="H95" s="6">
        <f>SUM(Table134[[#This Row],[NOVEMBER PAYMENT]:[MAY PAYMENT 
(BUDGET REDUCTION)]])</f>
        <v>291074.99</v>
      </c>
    </row>
    <row r="96" spans="1:8" x14ac:dyDescent="0.25">
      <c r="A96" t="str">
        <f>"052829"</f>
        <v>052829</v>
      </c>
      <c r="B96" t="s">
        <v>99</v>
      </c>
      <c r="C96">
        <v>491</v>
      </c>
      <c r="D96" s="6">
        <v>209872.66</v>
      </c>
      <c r="E96" s="6">
        <v>69257.98</v>
      </c>
      <c r="F96" s="6">
        <v>69257.98</v>
      </c>
      <c r="G96" s="6">
        <v>48060.83</v>
      </c>
      <c r="H96" s="6">
        <f>SUM(Table134[[#This Row],[NOVEMBER PAYMENT]:[MAY PAYMENT 
(BUDGET REDUCTION)]])</f>
        <v>186576.78999999998</v>
      </c>
    </row>
    <row r="97" spans="1:8" x14ac:dyDescent="0.25">
      <c r="A97" t="str">
        <f>"052837"</f>
        <v>052837</v>
      </c>
      <c r="B97" t="s">
        <v>99</v>
      </c>
      <c r="C97">
        <v>219</v>
      </c>
      <c r="D97" s="6">
        <v>93609.19</v>
      </c>
      <c r="E97" s="6">
        <v>30891.03</v>
      </c>
      <c r="F97" s="6">
        <v>30891.040000000001</v>
      </c>
      <c r="G97" s="6">
        <v>21436.5</v>
      </c>
      <c r="H97" s="6">
        <f>SUM(Table134[[#This Row],[NOVEMBER PAYMENT]:[MAY PAYMENT 
(BUDGET REDUCTION)]])</f>
        <v>83218.570000000007</v>
      </c>
    </row>
    <row r="98" spans="1:8" x14ac:dyDescent="0.25">
      <c r="A98" t="str">
        <f>"052845"</f>
        <v>052845</v>
      </c>
      <c r="B98" t="s">
        <v>100</v>
      </c>
      <c r="C98">
        <v>325</v>
      </c>
      <c r="D98" s="6">
        <v>138917.75</v>
      </c>
      <c r="E98" s="6">
        <v>45842.86</v>
      </c>
      <c r="F98" s="6">
        <v>45842.86</v>
      </c>
      <c r="G98" s="6">
        <v>31812.16</v>
      </c>
      <c r="H98" s="6">
        <f>SUM(Table134[[#This Row],[NOVEMBER PAYMENT]:[MAY PAYMENT 
(BUDGET REDUCTION)]])</f>
        <v>123497.88</v>
      </c>
    </row>
    <row r="99" spans="1:8" x14ac:dyDescent="0.25">
      <c r="A99" t="str">
        <f>"052852"</f>
        <v>052852</v>
      </c>
      <c r="B99" t="s">
        <v>100</v>
      </c>
      <c r="C99">
        <v>565</v>
      </c>
      <c r="D99" s="6">
        <v>241503.16</v>
      </c>
      <c r="E99" s="6">
        <v>79696.039999999994</v>
      </c>
      <c r="F99" s="6">
        <v>79696.05</v>
      </c>
      <c r="G99" s="6">
        <v>55304.22</v>
      </c>
      <c r="H99" s="6">
        <f>SUM(Table134[[#This Row],[NOVEMBER PAYMENT]:[MAY PAYMENT 
(BUDGET REDUCTION)]])</f>
        <v>214696.31</v>
      </c>
    </row>
    <row r="100" spans="1:8" x14ac:dyDescent="0.25">
      <c r="A100" t="str">
        <f>"052860"</f>
        <v>052860</v>
      </c>
      <c r="B100" t="s">
        <v>101</v>
      </c>
      <c r="C100">
        <v>274</v>
      </c>
      <c r="D100" s="6">
        <v>117118.35</v>
      </c>
      <c r="E100" s="6">
        <v>38649.06</v>
      </c>
      <c r="F100" s="6">
        <v>38649.050000000003</v>
      </c>
      <c r="G100" s="6">
        <v>26820.1</v>
      </c>
      <c r="H100" s="6">
        <f>SUM(Table134[[#This Row],[NOVEMBER PAYMENT]:[MAY PAYMENT 
(BUDGET REDUCTION)]])</f>
        <v>104118.20999999999</v>
      </c>
    </row>
    <row r="101" spans="1:8" x14ac:dyDescent="0.25">
      <c r="A101" t="str">
        <f>"052878"</f>
        <v>052878</v>
      </c>
      <c r="B101" t="s">
        <v>102</v>
      </c>
      <c r="C101">
        <v>659</v>
      </c>
      <c r="D101" s="6">
        <v>281682.45</v>
      </c>
      <c r="E101" s="6">
        <v>92955.21</v>
      </c>
      <c r="F101" s="6">
        <v>92955.21</v>
      </c>
      <c r="G101" s="6">
        <v>64505.279999999999</v>
      </c>
      <c r="H101" s="6">
        <f>SUM(Table134[[#This Row],[NOVEMBER PAYMENT]:[MAY PAYMENT 
(BUDGET REDUCTION)]])</f>
        <v>250415.7</v>
      </c>
    </row>
    <row r="102" spans="1:8" x14ac:dyDescent="0.25">
      <c r="A102" t="str">
        <f>"052894"</f>
        <v>052894</v>
      </c>
      <c r="B102" t="s">
        <v>103</v>
      </c>
      <c r="C102">
        <v>693</v>
      </c>
      <c r="D102" s="6">
        <v>296215.38</v>
      </c>
      <c r="E102" s="6">
        <v>97751.08</v>
      </c>
      <c r="F102" s="6">
        <v>97751.069999999992</v>
      </c>
      <c r="G102" s="6">
        <v>67833.320000000007</v>
      </c>
      <c r="H102" s="6">
        <f>SUM(Table134[[#This Row],[NOVEMBER PAYMENT]:[MAY PAYMENT 
(BUDGET REDUCTION)]])</f>
        <v>263335.46999999997</v>
      </c>
    </row>
    <row r="103" spans="1:8" x14ac:dyDescent="0.25">
      <c r="A103" t="str">
        <f>"052902"</f>
        <v>052902</v>
      </c>
      <c r="B103" t="s">
        <v>104</v>
      </c>
      <c r="C103">
        <v>827</v>
      </c>
      <c r="D103" s="6">
        <v>353492.23</v>
      </c>
      <c r="E103" s="6">
        <v>116652.44</v>
      </c>
      <c r="F103" s="6">
        <v>116652.43</v>
      </c>
      <c r="G103" s="6">
        <v>80949.72</v>
      </c>
      <c r="H103" s="6">
        <f>SUM(Table134[[#This Row],[NOVEMBER PAYMENT]:[MAY PAYMENT 
(BUDGET REDUCTION)]])</f>
        <v>314254.58999999997</v>
      </c>
    </row>
    <row r="104" spans="1:8" x14ac:dyDescent="0.25">
      <c r="A104" t="str">
        <f>"052910"</f>
        <v>052910</v>
      </c>
      <c r="B104" t="s">
        <v>105</v>
      </c>
      <c r="C104">
        <v>1065</v>
      </c>
      <c r="D104" s="6">
        <v>455222.77</v>
      </c>
      <c r="E104" s="6">
        <v>150223.51</v>
      </c>
      <c r="F104" s="6">
        <v>150223.52000000002</v>
      </c>
      <c r="G104" s="6">
        <v>104246.01</v>
      </c>
      <c r="H104" s="6">
        <f>SUM(Table134[[#This Row],[NOVEMBER PAYMENT]:[MAY PAYMENT 
(BUDGET REDUCTION)]])</f>
        <v>404693.04000000004</v>
      </c>
    </row>
    <row r="105" spans="1:8" x14ac:dyDescent="0.25">
      <c r="A105" t="str">
        <f>"052928"</f>
        <v>052928</v>
      </c>
      <c r="B105" t="s">
        <v>106</v>
      </c>
      <c r="C105">
        <v>529</v>
      </c>
      <c r="D105" s="6">
        <v>226115.35</v>
      </c>
      <c r="E105" s="6">
        <v>74618.070000000007</v>
      </c>
      <c r="F105" s="6">
        <v>74618.06</v>
      </c>
      <c r="G105" s="6">
        <v>51780.42</v>
      </c>
      <c r="H105" s="6">
        <f>SUM(Table134[[#This Row],[NOVEMBER PAYMENT]:[MAY PAYMENT 
(BUDGET REDUCTION)]])</f>
        <v>201016.55</v>
      </c>
    </row>
    <row r="106" spans="1:8" x14ac:dyDescent="0.25">
      <c r="A106" t="str">
        <f>"052936"</f>
        <v>052936</v>
      </c>
      <c r="B106" t="s">
        <v>107</v>
      </c>
      <c r="C106">
        <v>402</v>
      </c>
      <c r="D106" s="6">
        <v>171830.57</v>
      </c>
      <c r="E106" s="6">
        <v>56704.09</v>
      </c>
      <c r="F106" s="6">
        <v>56704.09</v>
      </c>
      <c r="G106" s="6">
        <v>39349.199999999997</v>
      </c>
      <c r="H106" s="6">
        <f>SUM(Table134[[#This Row],[NOVEMBER PAYMENT]:[MAY PAYMENT 
(BUDGET REDUCTION)]])</f>
        <v>152757.38</v>
      </c>
    </row>
    <row r="107" spans="1:8" x14ac:dyDescent="0.25">
      <c r="A107" t="str">
        <f>"052951"</f>
        <v>052951</v>
      </c>
      <c r="B107" t="s">
        <v>108</v>
      </c>
      <c r="C107">
        <v>757</v>
      </c>
      <c r="D107" s="6">
        <v>323571.49</v>
      </c>
      <c r="E107" s="6">
        <v>106778.59</v>
      </c>
      <c r="F107" s="6">
        <v>106778.59</v>
      </c>
      <c r="G107" s="6">
        <v>74097.87</v>
      </c>
      <c r="H107" s="6">
        <f>SUM(Table134[[#This Row],[NOVEMBER PAYMENT]:[MAY PAYMENT 
(BUDGET REDUCTION)]])</f>
        <v>287655.05</v>
      </c>
    </row>
    <row r="108" spans="1:8" x14ac:dyDescent="0.25">
      <c r="A108" t="str">
        <f>"052969"</f>
        <v>052969</v>
      </c>
      <c r="B108" t="s">
        <v>109</v>
      </c>
      <c r="C108">
        <v>395</v>
      </c>
      <c r="D108" s="6">
        <v>168838.49</v>
      </c>
      <c r="E108" s="6">
        <v>55716.7</v>
      </c>
      <c r="F108" s="6">
        <v>55716.7</v>
      </c>
      <c r="G108" s="6">
        <v>38664.019999999997</v>
      </c>
      <c r="H108" s="6">
        <f>SUM(Table134[[#This Row],[NOVEMBER PAYMENT]:[MAY PAYMENT 
(BUDGET REDUCTION)]])</f>
        <v>150097.41999999998</v>
      </c>
    </row>
    <row r="109" spans="1:8" x14ac:dyDescent="0.25">
      <c r="A109" t="str">
        <f>"052977"</f>
        <v>052977</v>
      </c>
      <c r="B109" t="s">
        <v>110</v>
      </c>
      <c r="C109">
        <v>534</v>
      </c>
      <c r="D109" s="6">
        <v>215290.66</v>
      </c>
      <c r="E109" s="6">
        <v>71045.919999999998</v>
      </c>
      <c r="F109" s="6">
        <v>71045.919999999998</v>
      </c>
      <c r="G109" s="6">
        <v>49301.56</v>
      </c>
      <c r="H109" s="6">
        <f>SUM(Table134[[#This Row],[NOVEMBER PAYMENT]:[MAY PAYMENT 
(BUDGET REDUCTION)]])</f>
        <v>191393.4</v>
      </c>
    </row>
    <row r="110" spans="1:8" x14ac:dyDescent="0.25">
      <c r="A110" t="str">
        <f>"052993"</f>
        <v>052993</v>
      </c>
      <c r="B110" t="s">
        <v>111</v>
      </c>
      <c r="C110">
        <v>534</v>
      </c>
      <c r="D110" s="6">
        <v>228252.54</v>
      </c>
      <c r="E110" s="6">
        <v>75323.34</v>
      </c>
      <c r="F110" s="6">
        <v>75323.34</v>
      </c>
      <c r="G110" s="6">
        <v>52269.83</v>
      </c>
      <c r="H110" s="6">
        <f>SUM(Table134[[#This Row],[NOVEMBER PAYMENT]:[MAY PAYMENT 
(BUDGET REDUCTION)]])</f>
        <v>202916.51</v>
      </c>
    </row>
    <row r="111" spans="1:8" x14ac:dyDescent="0.25">
      <c r="A111" t="str">
        <f>"053009"</f>
        <v>053009</v>
      </c>
      <c r="B111" t="s">
        <v>112</v>
      </c>
      <c r="C111">
        <v>150</v>
      </c>
      <c r="D111" s="6">
        <v>53719.91</v>
      </c>
      <c r="E111" s="6">
        <v>17727.57</v>
      </c>
      <c r="F111" s="6">
        <v>17727.57</v>
      </c>
      <c r="G111" s="6">
        <v>12301.86</v>
      </c>
      <c r="H111" s="6">
        <f>SUM(Table134[[#This Row],[NOVEMBER PAYMENT]:[MAY PAYMENT 
(BUDGET REDUCTION)]])</f>
        <v>47757</v>
      </c>
    </row>
    <row r="112" spans="1:8" x14ac:dyDescent="0.25">
      <c r="A112" t="str">
        <f>"053033"</f>
        <v>053033</v>
      </c>
      <c r="B112" t="s">
        <v>113</v>
      </c>
      <c r="C112">
        <v>744</v>
      </c>
      <c r="D112" s="6">
        <v>318014.78000000003</v>
      </c>
      <c r="E112" s="6">
        <v>104944.88</v>
      </c>
      <c r="F112" s="6">
        <v>104944.87</v>
      </c>
      <c r="G112" s="6">
        <v>72825.39</v>
      </c>
      <c r="H112" s="6">
        <f>SUM(Table134[[#This Row],[NOVEMBER PAYMENT]:[MAY PAYMENT 
(BUDGET REDUCTION)]])</f>
        <v>282715.14</v>
      </c>
    </row>
    <row r="113" spans="1:8" x14ac:dyDescent="0.25">
      <c r="A113" t="str">
        <f>"053041"</f>
        <v>053041</v>
      </c>
      <c r="B113" t="s">
        <v>114</v>
      </c>
      <c r="C113">
        <v>507</v>
      </c>
      <c r="D113" s="6">
        <v>216711.67999999999</v>
      </c>
      <c r="E113" s="6">
        <v>71514.850000000006</v>
      </c>
      <c r="F113" s="6">
        <v>71514.859999999986</v>
      </c>
      <c r="G113" s="6">
        <v>49626.97</v>
      </c>
      <c r="H113" s="6">
        <f>SUM(Table134[[#This Row],[NOVEMBER PAYMENT]:[MAY PAYMENT 
(BUDGET REDUCTION)]])</f>
        <v>192656.68</v>
      </c>
    </row>
    <row r="114" spans="1:8" x14ac:dyDescent="0.25">
      <c r="A114" t="str">
        <f>"053058"</f>
        <v>053058</v>
      </c>
      <c r="B114" t="s">
        <v>115</v>
      </c>
      <c r="C114">
        <v>562</v>
      </c>
      <c r="D114" s="6">
        <v>240220.84</v>
      </c>
      <c r="E114" s="6">
        <v>79272.88</v>
      </c>
      <c r="F114" s="6">
        <v>79272.87</v>
      </c>
      <c r="G114" s="6">
        <v>55010.58</v>
      </c>
      <c r="H114" s="6">
        <f>SUM(Table134[[#This Row],[NOVEMBER PAYMENT]:[MAY PAYMENT 
(BUDGET REDUCTION)]])</f>
        <v>213556.33000000002</v>
      </c>
    </row>
    <row r="115" spans="1:8" x14ac:dyDescent="0.25">
      <c r="A115" t="str">
        <f>"053082"</f>
        <v>053082</v>
      </c>
      <c r="B115" t="s">
        <v>116</v>
      </c>
      <c r="C115">
        <v>177</v>
      </c>
      <c r="D115" s="6">
        <v>75656.740000000005</v>
      </c>
      <c r="E115" s="6">
        <v>24966.720000000001</v>
      </c>
      <c r="F115" s="6">
        <v>24966.729999999996</v>
      </c>
      <c r="G115" s="6">
        <v>17325.39</v>
      </c>
      <c r="H115" s="6">
        <f>SUM(Table134[[#This Row],[NOVEMBER PAYMENT]:[MAY PAYMENT 
(BUDGET REDUCTION)]])</f>
        <v>67258.84</v>
      </c>
    </row>
    <row r="116" spans="1:8" x14ac:dyDescent="0.25">
      <c r="A116" t="str">
        <f>"053116"</f>
        <v>053116</v>
      </c>
      <c r="B116" t="s">
        <v>117</v>
      </c>
      <c r="C116">
        <v>151</v>
      </c>
      <c r="D116" s="6">
        <v>64543.32</v>
      </c>
      <c r="E116" s="6">
        <v>21299.3</v>
      </c>
      <c r="F116" s="6">
        <v>21299.289999999997</v>
      </c>
      <c r="G116" s="6">
        <v>14780.42</v>
      </c>
      <c r="H116" s="6">
        <f>SUM(Table134[[#This Row],[NOVEMBER PAYMENT]:[MAY PAYMENT 
(BUDGET REDUCTION)]])</f>
        <v>57379.009999999995</v>
      </c>
    </row>
    <row r="117" spans="1:8" x14ac:dyDescent="0.25">
      <c r="A117" t="str">
        <f>"053124"</f>
        <v>053124</v>
      </c>
      <c r="B117" t="s">
        <v>118</v>
      </c>
      <c r="C117">
        <v>313</v>
      </c>
      <c r="D117" s="6">
        <v>133788.48000000001</v>
      </c>
      <c r="E117" s="6">
        <v>44150.2</v>
      </c>
      <c r="F117" s="6">
        <v>44150.2</v>
      </c>
      <c r="G117" s="6">
        <v>30637.56</v>
      </c>
      <c r="H117" s="6">
        <f>SUM(Table134[[#This Row],[NOVEMBER PAYMENT]:[MAY PAYMENT 
(BUDGET REDUCTION)]])</f>
        <v>118937.95999999999</v>
      </c>
    </row>
    <row r="118" spans="1:8" x14ac:dyDescent="0.25">
      <c r="A118" t="str">
        <f>"053140"</f>
        <v>053140</v>
      </c>
      <c r="B118" t="s">
        <v>119</v>
      </c>
      <c r="C118">
        <v>591</v>
      </c>
      <c r="D118" s="6">
        <v>252616.58</v>
      </c>
      <c r="E118" s="6">
        <v>83363.47</v>
      </c>
      <c r="F118" s="6">
        <v>83363.47</v>
      </c>
      <c r="G118" s="6">
        <v>57849.2</v>
      </c>
      <c r="H118" s="6">
        <f>SUM(Table134[[#This Row],[NOVEMBER PAYMENT]:[MAY PAYMENT 
(BUDGET REDUCTION)]])</f>
        <v>224576.14</v>
      </c>
    </row>
    <row r="119" spans="1:8" x14ac:dyDescent="0.25">
      <c r="A119" t="str">
        <f>"053165"</f>
        <v>053165</v>
      </c>
      <c r="B119" t="s">
        <v>120</v>
      </c>
      <c r="C119">
        <v>279</v>
      </c>
      <c r="D119" s="6">
        <v>119255.54</v>
      </c>
      <c r="E119" s="6">
        <v>39354.33</v>
      </c>
      <c r="F119" s="6">
        <v>39354.33</v>
      </c>
      <c r="G119" s="6">
        <v>27309.52</v>
      </c>
      <c r="H119" s="6">
        <f>SUM(Table134[[#This Row],[NOVEMBER PAYMENT]:[MAY PAYMENT 
(BUDGET REDUCTION)]])</f>
        <v>106018.18000000001</v>
      </c>
    </row>
    <row r="120" spans="1:8" x14ac:dyDescent="0.25">
      <c r="A120" t="str">
        <f>"053199"</f>
        <v>053199</v>
      </c>
      <c r="B120" t="s">
        <v>121</v>
      </c>
      <c r="C120">
        <v>323</v>
      </c>
      <c r="D120" s="6">
        <v>138062.87</v>
      </c>
      <c r="E120" s="6">
        <v>45560.75</v>
      </c>
      <c r="F120" s="6">
        <v>45560.740000000005</v>
      </c>
      <c r="G120" s="6">
        <v>31616.400000000001</v>
      </c>
      <c r="H120" s="6">
        <f>SUM(Table134[[#This Row],[NOVEMBER PAYMENT]:[MAY PAYMENT 
(BUDGET REDUCTION)]])</f>
        <v>122737.89000000001</v>
      </c>
    </row>
    <row r="121" spans="1:8" x14ac:dyDescent="0.25">
      <c r="A121" t="str">
        <f>"053207"</f>
        <v>053207</v>
      </c>
      <c r="B121" t="s">
        <v>122</v>
      </c>
      <c r="C121">
        <v>463</v>
      </c>
      <c r="D121" s="6">
        <v>197904.36</v>
      </c>
      <c r="E121" s="6">
        <v>65308.44</v>
      </c>
      <c r="F121" s="6">
        <v>65308.44</v>
      </c>
      <c r="G121" s="6">
        <v>45320.1</v>
      </c>
      <c r="H121" s="6">
        <f>SUM(Table134[[#This Row],[NOVEMBER PAYMENT]:[MAY PAYMENT 
(BUDGET REDUCTION)]])</f>
        <v>175936.98</v>
      </c>
    </row>
    <row r="122" spans="1:8" x14ac:dyDescent="0.25">
      <c r="A122" t="str">
        <f>"053215"</f>
        <v>053215</v>
      </c>
      <c r="B122" t="s">
        <v>123</v>
      </c>
      <c r="C122">
        <v>680</v>
      </c>
      <c r="D122" s="6">
        <v>290658.67</v>
      </c>
      <c r="E122" s="6">
        <v>95917.36</v>
      </c>
      <c r="F122" s="6">
        <v>95917.36</v>
      </c>
      <c r="G122" s="6">
        <v>66560.84</v>
      </c>
      <c r="H122" s="6">
        <f>SUM(Table134[[#This Row],[NOVEMBER PAYMENT]:[MAY PAYMENT 
(BUDGET REDUCTION)]])</f>
        <v>258395.56</v>
      </c>
    </row>
    <row r="123" spans="1:8" x14ac:dyDescent="0.25">
      <c r="A123" t="str">
        <f>"053256"</f>
        <v>053256</v>
      </c>
      <c r="B123" t="s">
        <v>124</v>
      </c>
      <c r="C123">
        <v>360</v>
      </c>
      <c r="D123" s="6">
        <v>153878.12</v>
      </c>
      <c r="E123" s="6">
        <v>50779.78</v>
      </c>
      <c r="F123" s="6">
        <v>50779.78</v>
      </c>
      <c r="G123" s="6">
        <v>35238.089999999997</v>
      </c>
      <c r="H123" s="6">
        <f>SUM(Table134[[#This Row],[NOVEMBER PAYMENT]:[MAY PAYMENT 
(BUDGET REDUCTION)]])</f>
        <v>136797.65</v>
      </c>
    </row>
    <row r="124" spans="1:8" x14ac:dyDescent="0.25">
      <c r="A124" t="str">
        <f>"053272"</f>
        <v>053272</v>
      </c>
      <c r="B124" t="s">
        <v>125</v>
      </c>
      <c r="C124">
        <v>704</v>
      </c>
      <c r="D124" s="6">
        <v>300917.21000000002</v>
      </c>
      <c r="E124" s="6">
        <v>99302.68</v>
      </c>
      <c r="F124" s="6">
        <v>99302.68</v>
      </c>
      <c r="G124" s="6">
        <v>68910.039999999994</v>
      </c>
      <c r="H124" s="6">
        <f>SUM(Table134[[#This Row],[NOVEMBER PAYMENT]:[MAY PAYMENT 
(BUDGET REDUCTION)]])</f>
        <v>267515.39999999997</v>
      </c>
    </row>
    <row r="125" spans="1:8" x14ac:dyDescent="0.25">
      <c r="A125" t="str">
        <f>"053298"</f>
        <v>053298</v>
      </c>
      <c r="B125" t="s">
        <v>126</v>
      </c>
      <c r="C125">
        <v>544</v>
      </c>
      <c r="D125" s="6">
        <v>232526.94</v>
      </c>
      <c r="E125" s="6">
        <v>76733.89</v>
      </c>
      <c r="F125" s="6">
        <v>76733.89</v>
      </c>
      <c r="G125" s="6">
        <v>53248.67</v>
      </c>
      <c r="H125" s="6">
        <f>SUM(Table134[[#This Row],[NOVEMBER PAYMENT]:[MAY PAYMENT 
(BUDGET REDUCTION)]])</f>
        <v>206716.45</v>
      </c>
    </row>
    <row r="126" spans="1:8" x14ac:dyDescent="0.25">
      <c r="A126" t="str">
        <f>"053306"</f>
        <v>053306</v>
      </c>
      <c r="B126" t="s">
        <v>127</v>
      </c>
      <c r="C126">
        <v>867</v>
      </c>
      <c r="D126" s="6">
        <v>370589.8</v>
      </c>
      <c r="E126" s="6">
        <v>122294.63</v>
      </c>
      <c r="F126" s="6">
        <v>122294.63999999998</v>
      </c>
      <c r="G126" s="6">
        <v>84865.06</v>
      </c>
      <c r="H126" s="6">
        <f>SUM(Table134[[#This Row],[NOVEMBER PAYMENT]:[MAY PAYMENT 
(BUDGET REDUCTION)]])</f>
        <v>329454.32999999996</v>
      </c>
    </row>
    <row r="127" spans="1:8" x14ac:dyDescent="0.25">
      <c r="A127" t="str">
        <f>"053322"</f>
        <v>053322</v>
      </c>
      <c r="B127" t="s">
        <v>128</v>
      </c>
      <c r="C127">
        <v>722</v>
      </c>
      <c r="D127" s="6">
        <v>308611.12</v>
      </c>
      <c r="E127" s="6">
        <v>101841.67</v>
      </c>
      <c r="F127" s="6">
        <v>101841.67</v>
      </c>
      <c r="G127" s="6">
        <v>70671.95</v>
      </c>
      <c r="H127" s="6">
        <f>SUM(Table134[[#This Row],[NOVEMBER PAYMENT]:[MAY PAYMENT 
(BUDGET REDUCTION)]])</f>
        <v>274355.28999999998</v>
      </c>
    </row>
    <row r="128" spans="1:8" x14ac:dyDescent="0.25">
      <c r="A128" t="str">
        <f>"053348"</f>
        <v>053348</v>
      </c>
      <c r="B128" t="s">
        <v>129</v>
      </c>
      <c r="C128">
        <v>587</v>
      </c>
      <c r="D128" s="6">
        <v>250906.82</v>
      </c>
      <c r="E128" s="6">
        <v>82799.25</v>
      </c>
      <c r="F128" s="6">
        <v>82799.25</v>
      </c>
      <c r="G128" s="6">
        <v>57457.66</v>
      </c>
      <c r="H128" s="6">
        <f>SUM(Table134[[#This Row],[NOVEMBER PAYMENT]:[MAY PAYMENT 
(BUDGET REDUCTION)]])</f>
        <v>223056.16</v>
      </c>
    </row>
    <row r="129" spans="1:8" x14ac:dyDescent="0.25">
      <c r="A129" t="str">
        <f>"053355"</f>
        <v>053355</v>
      </c>
      <c r="B129" t="s">
        <v>130</v>
      </c>
      <c r="C129">
        <v>215</v>
      </c>
      <c r="D129" s="6">
        <v>91899.43</v>
      </c>
      <c r="E129" s="6">
        <v>30326.81</v>
      </c>
      <c r="F129" s="6">
        <v>30326.81</v>
      </c>
      <c r="G129" s="6">
        <v>21044.97</v>
      </c>
      <c r="H129" s="6">
        <f>SUM(Table134[[#This Row],[NOVEMBER PAYMENT]:[MAY PAYMENT 
(BUDGET REDUCTION)]])</f>
        <v>81698.59</v>
      </c>
    </row>
    <row r="130" spans="1:8" x14ac:dyDescent="0.25">
      <c r="A130" t="str">
        <f>"053363"</f>
        <v>053363</v>
      </c>
      <c r="B130" t="s">
        <v>131</v>
      </c>
      <c r="C130">
        <v>132</v>
      </c>
      <c r="D130" s="6">
        <v>56421.98</v>
      </c>
      <c r="E130" s="6">
        <v>18619.25</v>
      </c>
      <c r="F130" s="6">
        <v>18619.260000000002</v>
      </c>
      <c r="G130" s="6">
        <v>12920.63</v>
      </c>
      <c r="H130" s="6">
        <f>SUM(Table134[[#This Row],[NOVEMBER PAYMENT]:[MAY PAYMENT 
(BUDGET REDUCTION)]])</f>
        <v>50159.14</v>
      </c>
    </row>
    <row r="131" spans="1:8" x14ac:dyDescent="0.25">
      <c r="A131" t="str">
        <f>"053371"</f>
        <v>053371</v>
      </c>
      <c r="B131" t="s">
        <v>132</v>
      </c>
      <c r="C131">
        <v>703</v>
      </c>
      <c r="D131" s="6">
        <v>300489.77</v>
      </c>
      <c r="E131" s="6">
        <v>99161.62</v>
      </c>
      <c r="F131" s="6">
        <v>99161.63</v>
      </c>
      <c r="G131" s="6">
        <v>68812.160000000003</v>
      </c>
      <c r="H131" s="6">
        <f>SUM(Table134[[#This Row],[NOVEMBER PAYMENT]:[MAY PAYMENT 
(BUDGET REDUCTION)]])</f>
        <v>267135.41000000003</v>
      </c>
    </row>
    <row r="132" spans="1:8" x14ac:dyDescent="0.25">
      <c r="A132" t="str">
        <f>"053389"</f>
        <v>053389</v>
      </c>
      <c r="B132" t="s">
        <v>133</v>
      </c>
      <c r="C132">
        <v>583</v>
      </c>
      <c r="D132" s="6">
        <v>249197.06</v>
      </c>
      <c r="E132" s="6">
        <v>82235.03</v>
      </c>
      <c r="F132" s="6">
        <v>82235.03</v>
      </c>
      <c r="G132" s="6">
        <v>57066.13</v>
      </c>
      <c r="H132" s="6">
        <f>SUM(Table134[[#This Row],[NOVEMBER PAYMENT]:[MAY PAYMENT 
(BUDGET REDUCTION)]])</f>
        <v>221536.19</v>
      </c>
    </row>
    <row r="133" spans="1:8" x14ac:dyDescent="0.25">
      <c r="A133" t="str">
        <f>"053439"</f>
        <v>053439</v>
      </c>
      <c r="B133" t="s">
        <v>134</v>
      </c>
      <c r="C133">
        <v>757</v>
      </c>
      <c r="D133" s="6">
        <v>323571.49</v>
      </c>
      <c r="E133" s="6">
        <v>106778.59</v>
      </c>
      <c r="F133" s="6">
        <v>106778.59</v>
      </c>
      <c r="G133" s="6">
        <v>74097.87</v>
      </c>
      <c r="H133" s="6">
        <f>SUM(Table134[[#This Row],[NOVEMBER PAYMENT]:[MAY PAYMENT 
(BUDGET REDUCTION)]])</f>
        <v>287655.05</v>
      </c>
    </row>
    <row r="134" spans="1:8" x14ac:dyDescent="0.25">
      <c r="A134" t="str">
        <f>"053454"</f>
        <v>053454</v>
      </c>
      <c r="B134" t="s">
        <v>135</v>
      </c>
      <c r="C134">
        <v>329</v>
      </c>
      <c r="D134" s="6">
        <v>140627.5</v>
      </c>
      <c r="E134" s="6">
        <v>46407.08</v>
      </c>
      <c r="F134" s="6">
        <v>46407.069999999992</v>
      </c>
      <c r="G134" s="6">
        <v>32203.7</v>
      </c>
      <c r="H134" s="6">
        <f>SUM(Table134[[#This Row],[NOVEMBER PAYMENT]:[MAY PAYMENT 
(BUDGET REDUCTION)]])</f>
        <v>125017.84999999999</v>
      </c>
    </row>
    <row r="135" spans="1:8" x14ac:dyDescent="0.25">
      <c r="A135" t="str">
        <f>"053488"</f>
        <v>053488</v>
      </c>
      <c r="B135" t="s">
        <v>136</v>
      </c>
      <c r="C135">
        <v>504</v>
      </c>
      <c r="D135" s="6">
        <v>215429.37</v>
      </c>
      <c r="E135" s="6">
        <v>71091.69</v>
      </c>
      <c r="F135" s="6">
        <v>71091.69</v>
      </c>
      <c r="G135" s="6">
        <v>49333.33</v>
      </c>
      <c r="H135" s="6">
        <f>SUM(Table134[[#This Row],[NOVEMBER PAYMENT]:[MAY PAYMENT 
(BUDGET REDUCTION)]])</f>
        <v>191516.71000000002</v>
      </c>
    </row>
    <row r="136" spans="1:8" x14ac:dyDescent="0.25">
      <c r="A136" t="str">
        <f>"053496"</f>
        <v>053496</v>
      </c>
      <c r="B136" t="s">
        <v>137</v>
      </c>
      <c r="C136">
        <v>15</v>
      </c>
      <c r="D136" s="6">
        <v>3058.98</v>
      </c>
      <c r="E136" s="6">
        <v>1009.46</v>
      </c>
      <c r="F136" s="6">
        <v>1009.47</v>
      </c>
      <c r="G136" s="6">
        <v>700.5</v>
      </c>
      <c r="H136" s="6">
        <f>SUM(Table134[[#This Row],[NOVEMBER PAYMENT]:[MAY PAYMENT 
(BUDGET REDUCTION)]])</f>
        <v>2719.4300000000003</v>
      </c>
    </row>
    <row r="137" spans="1:8" x14ac:dyDescent="0.25">
      <c r="A137" t="str">
        <f>"053520"</f>
        <v>053520</v>
      </c>
      <c r="B137" t="s">
        <v>138</v>
      </c>
      <c r="C137">
        <v>625</v>
      </c>
      <c r="D137" s="6">
        <v>256235.67</v>
      </c>
      <c r="E137" s="6">
        <v>84557.77</v>
      </c>
      <c r="F137" s="6">
        <v>84557.77</v>
      </c>
      <c r="G137" s="6">
        <v>58677.97</v>
      </c>
      <c r="H137" s="6">
        <f>SUM(Table134[[#This Row],[NOVEMBER PAYMENT]:[MAY PAYMENT 
(BUDGET REDUCTION)]])</f>
        <v>227793.51</v>
      </c>
    </row>
    <row r="138" spans="1:8" x14ac:dyDescent="0.25">
      <c r="A138" t="str">
        <f>"053546"</f>
        <v>053546</v>
      </c>
      <c r="B138" t="s">
        <v>139</v>
      </c>
      <c r="C138">
        <v>938</v>
      </c>
      <c r="D138" s="6">
        <v>400937.99</v>
      </c>
      <c r="E138" s="6">
        <v>132309.54</v>
      </c>
      <c r="F138" s="6">
        <v>132309.53</v>
      </c>
      <c r="G138" s="6">
        <v>91814.8</v>
      </c>
      <c r="H138" s="6">
        <f>SUM(Table134[[#This Row],[NOVEMBER PAYMENT]:[MAY PAYMENT 
(BUDGET REDUCTION)]])</f>
        <v>356433.87</v>
      </c>
    </row>
    <row r="139" spans="1:8" x14ac:dyDescent="0.25">
      <c r="A139" t="str">
        <f>"053587"</f>
        <v>053587</v>
      </c>
      <c r="B139" t="s">
        <v>140</v>
      </c>
      <c r="C139">
        <v>872</v>
      </c>
      <c r="D139" s="6">
        <v>372727</v>
      </c>
      <c r="E139" s="6">
        <v>122999.91</v>
      </c>
      <c r="F139" s="6">
        <v>122999.91</v>
      </c>
      <c r="G139" s="6">
        <v>85354.48</v>
      </c>
      <c r="H139" s="6">
        <f>SUM(Table134[[#This Row],[NOVEMBER PAYMENT]:[MAY PAYMENT 
(BUDGET REDUCTION)]])</f>
        <v>331354.3</v>
      </c>
    </row>
    <row r="140" spans="1:8" x14ac:dyDescent="0.25">
      <c r="A140" t="str">
        <f>"053595"</f>
        <v>053595</v>
      </c>
      <c r="B140" t="s">
        <v>141</v>
      </c>
      <c r="C140">
        <v>648</v>
      </c>
      <c r="D140" s="6">
        <v>276980.61</v>
      </c>
      <c r="E140" s="6">
        <v>91403.6</v>
      </c>
      <c r="F140" s="6">
        <v>91403.6</v>
      </c>
      <c r="G140" s="6">
        <v>63428.56</v>
      </c>
      <c r="H140" s="6">
        <f>SUM(Table134[[#This Row],[NOVEMBER PAYMENT]:[MAY PAYMENT 
(BUDGET REDUCTION)]])</f>
        <v>246235.76</v>
      </c>
    </row>
    <row r="141" spans="1:8" x14ac:dyDescent="0.25">
      <c r="A141" t="str">
        <f>"053611"</f>
        <v>053611</v>
      </c>
      <c r="B141" t="s">
        <v>142</v>
      </c>
      <c r="C141">
        <v>349</v>
      </c>
      <c r="D141" s="6">
        <v>149176.29</v>
      </c>
      <c r="E141" s="6">
        <v>49228.18</v>
      </c>
      <c r="F141" s="6">
        <v>49228.170000000006</v>
      </c>
      <c r="G141" s="6">
        <v>34161.370000000003</v>
      </c>
      <c r="H141" s="6">
        <f>SUM(Table134[[#This Row],[NOVEMBER PAYMENT]:[MAY PAYMENT 
(BUDGET REDUCTION)]])</f>
        <v>132617.72</v>
      </c>
    </row>
    <row r="142" spans="1:8" x14ac:dyDescent="0.25">
      <c r="A142" t="str">
        <f>"053629"</f>
        <v>053629</v>
      </c>
      <c r="B142" t="s">
        <v>143</v>
      </c>
      <c r="C142">
        <v>1514</v>
      </c>
      <c r="D142" s="6">
        <v>647142.98</v>
      </c>
      <c r="E142" s="6">
        <v>213557.18</v>
      </c>
      <c r="F142" s="6">
        <v>213557.19</v>
      </c>
      <c r="G142" s="6">
        <v>148195.74</v>
      </c>
      <c r="H142" s="6">
        <f>SUM(Table134[[#This Row],[NOVEMBER PAYMENT]:[MAY PAYMENT 
(BUDGET REDUCTION)]])</f>
        <v>575310.11</v>
      </c>
    </row>
    <row r="143" spans="1:8" x14ac:dyDescent="0.25">
      <c r="A143" t="str">
        <f>"053637"</f>
        <v>053637</v>
      </c>
      <c r="B143" t="s">
        <v>144</v>
      </c>
      <c r="C143">
        <v>408</v>
      </c>
      <c r="D143" s="6">
        <v>174395.2</v>
      </c>
      <c r="E143" s="6">
        <v>57550.42</v>
      </c>
      <c r="F143" s="6">
        <v>57550.41</v>
      </c>
      <c r="G143" s="6">
        <v>39936.5</v>
      </c>
      <c r="H143" s="6">
        <f>SUM(Table134[[#This Row],[NOVEMBER PAYMENT]:[MAY PAYMENT 
(BUDGET REDUCTION)]])</f>
        <v>155037.33000000002</v>
      </c>
    </row>
    <row r="144" spans="1:8" x14ac:dyDescent="0.25">
      <c r="A144" t="str">
        <f>"053645"</f>
        <v>053645</v>
      </c>
      <c r="B144" t="s">
        <v>145</v>
      </c>
      <c r="C144">
        <v>590</v>
      </c>
      <c r="D144" s="6">
        <v>252189.14</v>
      </c>
      <c r="E144" s="6">
        <v>83222.42</v>
      </c>
      <c r="F144" s="6">
        <v>83222.409999999989</v>
      </c>
      <c r="G144" s="6">
        <v>57751.32</v>
      </c>
      <c r="H144" s="6">
        <f>SUM(Table134[[#This Row],[NOVEMBER PAYMENT]:[MAY PAYMENT 
(BUDGET REDUCTION)]])</f>
        <v>224196.15</v>
      </c>
    </row>
    <row r="145" spans="1:8" x14ac:dyDescent="0.25">
      <c r="A145" t="str">
        <f>"053652"</f>
        <v>053652</v>
      </c>
      <c r="B145" t="s">
        <v>146</v>
      </c>
      <c r="C145">
        <v>40</v>
      </c>
      <c r="D145" s="6">
        <v>17097.57</v>
      </c>
      <c r="E145" s="6">
        <v>5642.2</v>
      </c>
      <c r="F145" s="6">
        <v>5642.2</v>
      </c>
      <c r="G145" s="6">
        <v>3915.34</v>
      </c>
      <c r="H145" s="6">
        <f>SUM(Table134[[#This Row],[NOVEMBER PAYMENT]:[MAY PAYMENT 
(BUDGET REDUCTION)]])</f>
        <v>15199.74</v>
      </c>
    </row>
    <row r="146" spans="1:8" x14ac:dyDescent="0.25">
      <c r="A146" t="str">
        <f>"053660"</f>
        <v>053660</v>
      </c>
      <c r="B146" t="s">
        <v>147</v>
      </c>
      <c r="C146">
        <v>461</v>
      </c>
      <c r="D146" s="6">
        <v>197049.48</v>
      </c>
      <c r="E146" s="6">
        <v>65026.33</v>
      </c>
      <c r="F146" s="6">
        <v>65026.33</v>
      </c>
      <c r="G146" s="6">
        <v>45124.33</v>
      </c>
      <c r="H146" s="6">
        <f>SUM(Table134[[#This Row],[NOVEMBER PAYMENT]:[MAY PAYMENT 
(BUDGET REDUCTION)]])</f>
        <v>175176.99</v>
      </c>
    </row>
    <row r="147" spans="1:8" x14ac:dyDescent="0.25">
      <c r="A147" t="str">
        <f>"053686"</f>
        <v>053686</v>
      </c>
      <c r="B147" t="s">
        <v>148</v>
      </c>
      <c r="C147">
        <v>434</v>
      </c>
      <c r="D147" s="6">
        <v>185508.62</v>
      </c>
      <c r="E147" s="6">
        <v>61217.84</v>
      </c>
      <c r="F147" s="6">
        <v>61217.850000000006</v>
      </c>
      <c r="G147" s="6">
        <v>42481.47</v>
      </c>
      <c r="H147" s="6">
        <f>SUM(Table134[[#This Row],[NOVEMBER PAYMENT]:[MAY PAYMENT 
(BUDGET REDUCTION)]])</f>
        <v>164917.16</v>
      </c>
    </row>
    <row r="148" spans="1:8" x14ac:dyDescent="0.25">
      <c r="A148" t="str">
        <f>"053702"</f>
        <v>053702</v>
      </c>
      <c r="B148" t="s">
        <v>149</v>
      </c>
      <c r="C148">
        <v>717</v>
      </c>
      <c r="D148" s="6">
        <v>306473.92</v>
      </c>
      <c r="E148" s="6">
        <v>101136.39</v>
      </c>
      <c r="F148" s="6">
        <v>101136.40000000001</v>
      </c>
      <c r="G148" s="6">
        <v>70182.52</v>
      </c>
      <c r="H148" s="6">
        <f>SUM(Table134[[#This Row],[NOVEMBER PAYMENT]:[MAY PAYMENT 
(BUDGET REDUCTION)]])</f>
        <v>272455.31</v>
      </c>
    </row>
    <row r="149" spans="1:8" x14ac:dyDescent="0.25">
      <c r="A149" t="str">
        <f>"053728"</f>
        <v>053728</v>
      </c>
      <c r="B149" t="s">
        <v>150</v>
      </c>
      <c r="C149">
        <v>68</v>
      </c>
      <c r="D149" s="6">
        <v>29065.87</v>
      </c>
      <c r="E149" s="6">
        <v>9591.74</v>
      </c>
      <c r="F149" s="6">
        <v>9591.7300000000014</v>
      </c>
      <c r="G149" s="6">
        <v>6656.09</v>
      </c>
      <c r="H149" s="6">
        <f>SUM(Table134[[#This Row],[NOVEMBER PAYMENT]:[MAY PAYMENT 
(BUDGET REDUCTION)]])</f>
        <v>25839.56</v>
      </c>
    </row>
    <row r="150" spans="1:8" x14ac:dyDescent="0.25">
      <c r="A150" t="str">
        <f>"053751"</f>
        <v>053751</v>
      </c>
      <c r="B150" t="s">
        <v>151</v>
      </c>
      <c r="C150">
        <v>506</v>
      </c>
      <c r="D150" s="6">
        <v>216284.25</v>
      </c>
      <c r="E150" s="6">
        <v>71373.8</v>
      </c>
      <c r="F150" s="6">
        <v>71373.809999999983</v>
      </c>
      <c r="G150" s="6">
        <v>49529.09</v>
      </c>
      <c r="H150" s="6">
        <f>SUM(Table134[[#This Row],[NOVEMBER PAYMENT]:[MAY PAYMENT 
(BUDGET REDUCTION)]])</f>
        <v>192276.69999999998</v>
      </c>
    </row>
    <row r="151" spans="1:8" x14ac:dyDescent="0.25">
      <c r="A151" t="str">
        <f>"053769"</f>
        <v>053769</v>
      </c>
      <c r="B151" t="s">
        <v>152</v>
      </c>
      <c r="C151">
        <v>648</v>
      </c>
      <c r="D151" s="6">
        <v>276980.61</v>
      </c>
      <c r="E151" s="6">
        <v>91403.6</v>
      </c>
      <c r="F151" s="6">
        <v>91403.6</v>
      </c>
      <c r="G151" s="6">
        <v>63428.56</v>
      </c>
      <c r="H151" s="6">
        <f>SUM(Table134[[#This Row],[NOVEMBER PAYMENT]:[MAY PAYMENT 
(BUDGET REDUCTION)]])</f>
        <v>246235.76</v>
      </c>
    </row>
    <row r="152" spans="1:8" x14ac:dyDescent="0.25">
      <c r="A152" t="str">
        <f>"053785"</f>
        <v>053785</v>
      </c>
      <c r="B152" t="s">
        <v>153</v>
      </c>
      <c r="C152">
        <v>232</v>
      </c>
      <c r="D152" s="6">
        <v>88907.92</v>
      </c>
      <c r="E152" s="6">
        <v>29339.61</v>
      </c>
      <c r="F152" s="6">
        <v>29339.620000000003</v>
      </c>
      <c r="G152" s="6">
        <v>20359.91</v>
      </c>
      <c r="H152" s="6">
        <f>SUM(Table134[[#This Row],[NOVEMBER PAYMENT]:[MAY PAYMENT 
(BUDGET REDUCTION)]])</f>
        <v>79039.14</v>
      </c>
    </row>
    <row r="153" spans="1:8" x14ac:dyDescent="0.25">
      <c r="A153" t="str">
        <f>"053801"</f>
        <v>053801</v>
      </c>
      <c r="B153" t="s">
        <v>154</v>
      </c>
      <c r="C153">
        <v>72</v>
      </c>
      <c r="D153" s="6">
        <v>30775.62</v>
      </c>
      <c r="E153" s="6">
        <v>10155.950000000001</v>
      </c>
      <c r="F153" s="6">
        <v>10155.959999999999</v>
      </c>
      <c r="G153" s="6">
        <v>7047.62</v>
      </c>
      <c r="H153" s="6">
        <f>SUM(Table134[[#This Row],[NOVEMBER PAYMENT]:[MAY PAYMENT 
(BUDGET REDUCTION)]])</f>
        <v>27359.53</v>
      </c>
    </row>
    <row r="154" spans="1:8" x14ac:dyDescent="0.25">
      <c r="A154" t="str">
        <f>"053827"</f>
        <v>053827</v>
      </c>
      <c r="B154" t="s">
        <v>155</v>
      </c>
      <c r="C154">
        <v>285</v>
      </c>
      <c r="D154" s="6">
        <v>121820.18</v>
      </c>
      <c r="E154" s="6">
        <v>40200.660000000003</v>
      </c>
      <c r="F154" s="6">
        <v>40200.660000000003</v>
      </c>
      <c r="G154" s="6">
        <v>27896.82</v>
      </c>
      <c r="H154" s="6">
        <f>SUM(Table134[[#This Row],[NOVEMBER PAYMENT]:[MAY PAYMENT 
(BUDGET REDUCTION)]])</f>
        <v>108298.14000000001</v>
      </c>
    </row>
    <row r="155" spans="1:8" x14ac:dyDescent="0.25">
      <c r="A155" t="str">
        <f>"053835"</f>
        <v>053835</v>
      </c>
      <c r="B155" t="s">
        <v>156</v>
      </c>
      <c r="C155">
        <v>642</v>
      </c>
      <c r="D155" s="6">
        <v>274415.98</v>
      </c>
      <c r="E155" s="6">
        <v>90557.27</v>
      </c>
      <c r="F155" s="6">
        <v>90557.279999999984</v>
      </c>
      <c r="G155" s="6">
        <v>62841.26</v>
      </c>
      <c r="H155" s="6">
        <f>SUM(Table134[[#This Row],[NOVEMBER PAYMENT]:[MAY PAYMENT 
(BUDGET REDUCTION)]])</f>
        <v>243955.81</v>
      </c>
    </row>
    <row r="156" spans="1:8" x14ac:dyDescent="0.25">
      <c r="A156" t="str">
        <f>"053843"</f>
        <v>053843</v>
      </c>
      <c r="B156" t="s">
        <v>156</v>
      </c>
      <c r="C156">
        <v>511</v>
      </c>
      <c r="D156" s="6">
        <v>218421.44</v>
      </c>
      <c r="E156" s="6">
        <v>72079.08</v>
      </c>
      <c r="F156" s="6">
        <v>72079.069999999992</v>
      </c>
      <c r="G156" s="6">
        <v>50018.51</v>
      </c>
      <c r="H156" s="6">
        <f>SUM(Table134[[#This Row],[NOVEMBER PAYMENT]:[MAY PAYMENT 
(BUDGET REDUCTION)]])</f>
        <v>194176.66</v>
      </c>
    </row>
    <row r="157" spans="1:8" x14ac:dyDescent="0.25">
      <c r="A157" t="str">
        <f>"053850"</f>
        <v>053850</v>
      </c>
      <c r="B157" t="s">
        <v>157</v>
      </c>
      <c r="C157">
        <v>619</v>
      </c>
      <c r="D157" s="6">
        <v>264584.88</v>
      </c>
      <c r="E157" s="6">
        <v>87313.01</v>
      </c>
      <c r="F157" s="6">
        <v>87313.01</v>
      </c>
      <c r="G157" s="6">
        <v>60589.94</v>
      </c>
      <c r="H157" s="6">
        <f>SUM(Table134[[#This Row],[NOVEMBER PAYMENT]:[MAY PAYMENT 
(BUDGET REDUCTION)]])</f>
        <v>235215.96</v>
      </c>
    </row>
    <row r="158" spans="1:8" x14ac:dyDescent="0.25">
      <c r="A158" t="str">
        <f>"053868"</f>
        <v>053868</v>
      </c>
      <c r="B158" t="s">
        <v>158</v>
      </c>
      <c r="C158">
        <v>97</v>
      </c>
      <c r="D158" s="6">
        <v>41461.599999999999</v>
      </c>
      <c r="E158" s="6">
        <v>13682.33</v>
      </c>
      <c r="F158" s="6">
        <v>13682.33</v>
      </c>
      <c r="G158" s="6">
        <v>9494.7000000000007</v>
      </c>
      <c r="H158" s="6">
        <f>SUM(Table134[[#This Row],[NOVEMBER PAYMENT]:[MAY PAYMENT 
(BUDGET REDUCTION)]])</f>
        <v>36859.360000000001</v>
      </c>
    </row>
    <row r="159" spans="1:8" x14ac:dyDescent="0.25">
      <c r="A159" t="str">
        <f>"053876"</f>
        <v>053876</v>
      </c>
      <c r="B159" t="s">
        <v>159</v>
      </c>
      <c r="C159">
        <v>1466</v>
      </c>
      <c r="D159" s="6">
        <v>626625.9</v>
      </c>
      <c r="E159" s="6">
        <v>206786.55</v>
      </c>
      <c r="F159" s="6">
        <v>206786.54000000004</v>
      </c>
      <c r="G159" s="6">
        <v>143497.34</v>
      </c>
      <c r="H159" s="6">
        <f>SUM(Table134[[#This Row],[NOVEMBER PAYMENT]:[MAY PAYMENT 
(BUDGET REDUCTION)]])</f>
        <v>557070.43000000005</v>
      </c>
    </row>
    <row r="160" spans="1:8" x14ac:dyDescent="0.25">
      <c r="A160" t="str">
        <f>"053884"</f>
        <v>053884</v>
      </c>
      <c r="B160" t="s">
        <v>160</v>
      </c>
      <c r="C160">
        <v>516</v>
      </c>
      <c r="D160" s="6">
        <v>220558.64</v>
      </c>
      <c r="E160" s="6">
        <v>72784.350000000006</v>
      </c>
      <c r="F160" s="6">
        <v>72784.350000000006</v>
      </c>
      <c r="G160" s="6">
        <v>50507.93</v>
      </c>
      <c r="H160" s="6">
        <f>SUM(Table134[[#This Row],[NOVEMBER PAYMENT]:[MAY PAYMENT 
(BUDGET REDUCTION)]])</f>
        <v>196076.63</v>
      </c>
    </row>
    <row r="161" spans="1:8" x14ac:dyDescent="0.25">
      <c r="A161" t="str">
        <f>"053900"</f>
        <v>053900</v>
      </c>
      <c r="B161" t="s">
        <v>161</v>
      </c>
      <c r="C161">
        <v>790</v>
      </c>
      <c r="D161" s="6">
        <v>337676.98</v>
      </c>
      <c r="E161" s="6">
        <v>111433.4</v>
      </c>
      <c r="F161" s="6">
        <v>111433.41</v>
      </c>
      <c r="G161" s="6">
        <v>77328.03</v>
      </c>
      <c r="H161" s="6">
        <f>SUM(Table134[[#This Row],[NOVEMBER PAYMENT]:[MAY PAYMENT 
(BUDGET REDUCTION)]])</f>
        <v>300194.83999999997</v>
      </c>
    </row>
    <row r="162" spans="1:8" x14ac:dyDescent="0.25">
      <c r="A162" t="str">
        <f>"053918"</f>
        <v>053918</v>
      </c>
      <c r="B162" t="s">
        <v>162</v>
      </c>
      <c r="C162">
        <v>119</v>
      </c>
      <c r="D162" s="6">
        <v>50865.27</v>
      </c>
      <c r="E162" s="6">
        <v>16785.54</v>
      </c>
      <c r="F162" s="6">
        <v>16785.54</v>
      </c>
      <c r="G162" s="6">
        <v>11648.15</v>
      </c>
      <c r="H162" s="6">
        <f>SUM(Table134[[#This Row],[NOVEMBER PAYMENT]:[MAY PAYMENT 
(BUDGET REDUCTION)]])</f>
        <v>45219.23</v>
      </c>
    </row>
    <row r="163" spans="1:8" x14ac:dyDescent="0.25">
      <c r="A163" t="str">
        <f>"053926"</f>
        <v>053926</v>
      </c>
      <c r="B163" t="s">
        <v>163</v>
      </c>
      <c r="C163">
        <v>424</v>
      </c>
      <c r="D163" s="6">
        <v>181234.23</v>
      </c>
      <c r="E163" s="6">
        <v>59807.3</v>
      </c>
      <c r="F163" s="6">
        <v>59807.289999999994</v>
      </c>
      <c r="G163" s="6">
        <v>41502.639999999999</v>
      </c>
      <c r="H163" s="6">
        <f>SUM(Table134[[#This Row],[NOVEMBER PAYMENT]:[MAY PAYMENT 
(BUDGET REDUCTION)]])</f>
        <v>161117.22999999998</v>
      </c>
    </row>
    <row r="164" spans="1:8" x14ac:dyDescent="0.25">
      <c r="A164" t="str">
        <f>"053934"</f>
        <v>053934</v>
      </c>
      <c r="B164" t="s">
        <v>164</v>
      </c>
      <c r="C164">
        <v>442</v>
      </c>
      <c r="D164" s="6">
        <v>188928.13</v>
      </c>
      <c r="E164" s="6">
        <v>62346.28</v>
      </c>
      <c r="F164" s="6">
        <v>62346.290000000008</v>
      </c>
      <c r="G164" s="6">
        <v>43264.54</v>
      </c>
      <c r="H164" s="6">
        <f>SUM(Table134[[#This Row],[NOVEMBER PAYMENT]:[MAY PAYMENT 
(BUDGET REDUCTION)]])</f>
        <v>167957.11000000002</v>
      </c>
    </row>
    <row r="165" spans="1:8" x14ac:dyDescent="0.25">
      <c r="A165" t="str">
        <f>"053942"</f>
        <v>053942</v>
      </c>
      <c r="B165" t="s">
        <v>165</v>
      </c>
      <c r="C165">
        <v>620</v>
      </c>
      <c r="D165" s="6">
        <v>265012.32</v>
      </c>
      <c r="E165" s="6">
        <v>87454.07</v>
      </c>
      <c r="F165" s="6">
        <v>87454.06</v>
      </c>
      <c r="G165" s="6">
        <v>60687.82</v>
      </c>
      <c r="H165" s="6">
        <f>SUM(Table134[[#This Row],[NOVEMBER PAYMENT]:[MAY PAYMENT 
(BUDGET REDUCTION)]])</f>
        <v>235595.95</v>
      </c>
    </row>
    <row r="166" spans="1:8" x14ac:dyDescent="0.25">
      <c r="A166" t="str">
        <f>"053975"</f>
        <v>053975</v>
      </c>
      <c r="B166" t="s">
        <v>166</v>
      </c>
      <c r="C166">
        <v>209</v>
      </c>
      <c r="D166" s="6">
        <v>89334.8</v>
      </c>
      <c r="E166" s="6">
        <v>29480.48</v>
      </c>
      <c r="F166" s="6">
        <v>29480.49</v>
      </c>
      <c r="G166" s="6">
        <v>20457.669999999998</v>
      </c>
      <c r="H166" s="6">
        <f>SUM(Table134[[#This Row],[NOVEMBER PAYMENT]:[MAY PAYMENT 
(BUDGET REDUCTION)]])</f>
        <v>79418.64</v>
      </c>
    </row>
    <row r="167" spans="1:8" x14ac:dyDescent="0.25">
      <c r="A167" t="str">
        <f>"053983"</f>
        <v>053983</v>
      </c>
      <c r="B167" t="s">
        <v>167</v>
      </c>
      <c r="C167">
        <v>545</v>
      </c>
      <c r="D167" s="6">
        <v>232954.37</v>
      </c>
      <c r="E167" s="6">
        <v>76874.94</v>
      </c>
      <c r="F167" s="6">
        <v>76874.94</v>
      </c>
      <c r="G167" s="6">
        <v>53346.55</v>
      </c>
      <c r="H167" s="6">
        <f>SUM(Table134[[#This Row],[NOVEMBER PAYMENT]:[MAY PAYMENT 
(BUDGET REDUCTION)]])</f>
        <v>207096.43</v>
      </c>
    </row>
    <row r="168" spans="1:8" x14ac:dyDescent="0.25">
      <c r="A168" t="str">
        <f>"054015"</f>
        <v>054015</v>
      </c>
      <c r="B168" t="s">
        <v>168</v>
      </c>
      <c r="C168">
        <v>659</v>
      </c>
      <c r="D168" s="6">
        <v>281682.45</v>
      </c>
      <c r="E168" s="6">
        <v>92955.21</v>
      </c>
      <c r="F168" s="6">
        <v>92955.21</v>
      </c>
      <c r="G168" s="6">
        <v>64505.279999999999</v>
      </c>
      <c r="H168" s="6">
        <f>SUM(Table134[[#This Row],[NOVEMBER PAYMENT]:[MAY PAYMENT 
(BUDGET REDUCTION)]])</f>
        <v>250415.7</v>
      </c>
    </row>
    <row r="169" spans="1:8" x14ac:dyDescent="0.25">
      <c r="A169" t="str">
        <f>"054031"</f>
        <v>054031</v>
      </c>
      <c r="B169" t="s">
        <v>169</v>
      </c>
      <c r="C169">
        <v>74</v>
      </c>
      <c r="D169" s="6">
        <v>31630.5</v>
      </c>
      <c r="E169" s="6">
        <v>10438.07</v>
      </c>
      <c r="F169" s="6">
        <v>10438.060000000001</v>
      </c>
      <c r="G169" s="6">
        <v>7243.38</v>
      </c>
      <c r="H169" s="6">
        <f>SUM(Table134[[#This Row],[NOVEMBER PAYMENT]:[MAY PAYMENT 
(BUDGET REDUCTION)]])</f>
        <v>28119.510000000002</v>
      </c>
    </row>
    <row r="170" spans="1:8" x14ac:dyDescent="0.25">
      <c r="A170" t="str">
        <f>"054148"</f>
        <v>054148</v>
      </c>
      <c r="B170" t="s">
        <v>170</v>
      </c>
      <c r="C170">
        <v>24</v>
      </c>
      <c r="D170" s="6">
        <v>10258.540000000001</v>
      </c>
      <c r="E170" s="6">
        <v>3385.32</v>
      </c>
      <c r="F170" s="6">
        <v>3385.32</v>
      </c>
      <c r="G170" s="6">
        <v>2349.1999999999998</v>
      </c>
      <c r="H170" s="6">
        <f>SUM(Table134[[#This Row],[NOVEMBER PAYMENT]:[MAY PAYMENT 
(BUDGET REDUCTION)]])</f>
        <v>9119.84</v>
      </c>
    </row>
    <row r="171" spans="1:8" x14ac:dyDescent="0.25">
      <c r="A171" t="str">
        <f>"054163"</f>
        <v>054163</v>
      </c>
      <c r="B171" t="s">
        <v>171</v>
      </c>
      <c r="C171">
        <v>33</v>
      </c>
      <c r="D171" s="6">
        <v>14105.49</v>
      </c>
      <c r="E171" s="6">
        <v>4654.8100000000004</v>
      </c>
      <c r="F171" s="6">
        <v>4654.8100000000004</v>
      </c>
      <c r="G171" s="6">
        <v>3230.16</v>
      </c>
      <c r="H171" s="6">
        <f>SUM(Table134[[#This Row],[NOVEMBER PAYMENT]:[MAY PAYMENT 
(BUDGET REDUCTION)]])</f>
        <v>12539.78</v>
      </c>
    </row>
    <row r="172" spans="1:8" x14ac:dyDescent="0.25">
      <c r="A172" t="str">
        <f>"054171"</f>
        <v>054171</v>
      </c>
      <c r="B172" t="s">
        <v>172</v>
      </c>
      <c r="C172">
        <v>83</v>
      </c>
      <c r="D172" s="6">
        <v>35477.46</v>
      </c>
      <c r="E172" s="6">
        <v>11707.56</v>
      </c>
      <c r="F172" s="6">
        <v>11707.56</v>
      </c>
      <c r="G172" s="6">
        <v>8124.34</v>
      </c>
      <c r="H172" s="6">
        <f>SUM(Table134[[#This Row],[NOVEMBER PAYMENT]:[MAY PAYMENT 
(BUDGET REDUCTION)]])</f>
        <v>31539.46</v>
      </c>
    </row>
    <row r="173" spans="1:8" x14ac:dyDescent="0.25">
      <c r="A173" t="str">
        <f>"054205"</f>
        <v>054205</v>
      </c>
      <c r="B173" t="s">
        <v>173</v>
      </c>
      <c r="C173">
        <v>487</v>
      </c>
      <c r="D173" s="6">
        <v>208162.9</v>
      </c>
      <c r="E173" s="6">
        <v>68693.759999999995</v>
      </c>
      <c r="F173" s="6">
        <v>68693.750000000015</v>
      </c>
      <c r="G173" s="6">
        <v>47669.31</v>
      </c>
      <c r="H173" s="6">
        <f>SUM(Table134[[#This Row],[NOVEMBER PAYMENT]:[MAY PAYMENT 
(BUDGET REDUCTION)]])</f>
        <v>185056.82</v>
      </c>
    </row>
    <row r="174" spans="1:8" x14ac:dyDescent="0.25">
      <c r="A174" t="str">
        <f>"054213"</f>
        <v>054213</v>
      </c>
      <c r="B174" t="s">
        <v>174</v>
      </c>
      <c r="C174">
        <v>139</v>
      </c>
      <c r="D174" s="6">
        <v>59414.05</v>
      </c>
      <c r="E174" s="6">
        <v>19606.64</v>
      </c>
      <c r="F174" s="6">
        <v>19606.629999999997</v>
      </c>
      <c r="G174" s="6">
        <v>13605.82</v>
      </c>
      <c r="H174" s="6">
        <f>SUM(Table134[[#This Row],[NOVEMBER PAYMENT]:[MAY PAYMENT 
(BUDGET REDUCTION)]])</f>
        <v>52819.09</v>
      </c>
    </row>
    <row r="175" spans="1:8" x14ac:dyDescent="0.25">
      <c r="A175" t="str">
        <f>"054239"</f>
        <v>054239</v>
      </c>
      <c r="B175" t="s">
        <v>175</v>
      </c>
      <c r="C175">
        <v>304</v>
      </c>
      <c r="D175" s="6">
        <v>129941.52</v>
      </c>
      <c r="E175" s="6">
        <v>42880.7</v>
      </c>
      <c r="F175" s="6">
        <v>42880.7</v>
      </c>
      <c r="G175" s="6">
        <v>29756.61</v>
      </c>
      <c r="H175" s="6">
        <f>SUM(Table134[[#This Row],[NOVEMBER PAYMENT]:[MAY PAYMENT 
(BUDGET REDUCTION)]])</f>
        <v>115518.01</v>
      </c>
    </row>
    <row r="176" spans="1:8" x14ac:dyDescent="0.25">
      <c r="A176" t="str">
        <f>"054270"</f>
        <v>054270</v>
      </c>
      <c r="B176" t="s">
        <v>176</v>
      </c>
      <c r="C176">
        <v>312</v>
      </c>
      <c r="D176" s="6">
        <v>133361.04</v>
      </c>
      <c r="E176" s="6">
        <v>44009.14</v>
      </c>
      <c r="F176" s="6">
        <v>44009.149999999994</v>
      </c>
      <c r="G176" s="6">
        <v>30539.67</v>
      </c>
      <c r="H176" s="6">
        <f>SUM(Table134[[#This Row],[NOVEMBER PAYMENT]:[MAY PAYMENT 
(BUDGET REDUCTION)]])</f>
        <v>118557.95999999999</v>
      </c>
    </row>
    <row r="177" spans="1:8" x14ac:dyDescent="0.25">
      <c r="A177" t="str">
        <f>"054288"</f>
        <v>054288</v>
      </c>
      <c r="B177" t="s">
        <v>177</v>
      </c>
      <c r="C177">
        <v>133</v>
      </c>
      <c r="D177" s="6">
        <v>56849.42</v>
      </c>
      <c r="E177" s="6">
        <v>18760.310000000001</v>
      </c>
      <c r="F177" s="6">
        <v>18760.310000000001</v>
      </c>
      <c r="G177" s="6">
        <v>13018.51</v>
      </c>
      <c r="H177" s="6">
        <f>SUM(Table134[[#This Row],[NOVEMBER PAYMENT]:[MAY PAYMENT 
(BUDGET REDUCTION)]])</f>
        <v>50539.130000000005</v>
      </c>
    </row>
    <row r="178" spans="1:8" x14ac:dyDescent="0.25">
      <c r="A178" t="str">
        <f>"054312"</f>
        <v>054312</v>
      </c>
      <c r="B178" t="s">
        <v>178</v>
      </c>
      <c r="C178">
        <v>281</v>
      </c>
      <c r="D178" s="6">
        <v>120110.42</v>
      </c>
      <c r="E178" s="6">
        <v>39636.44</v>
      </c>
      <c r="F178" s="6">
        <v>39636.44</v>
      </c>
      <c r="G178" s="6">
        <v>27505.279999999999</v>
      </c>
      <c r="H178" s="6">
        <f>SUM(Table134[[#This Row],[NOVEMBER PAYMENT]:[MAY PAYMENT 
(BUDGET REDUCTION)]])</f>
        <v>106778.16</v>
      </c>
    </row>
    <row r="179" spans="1:8" x14ac:dyDescent="0.25">
      <c r="A179" t="str">
        <f>"054320"</f>
        <v>054320</v>
      </c>
      <c r="B179" t="s">
        <v>179</v>
      </c>
      <c r="C179">
        <v>405</v>
      </c>
      <c r="D179" s="6">
        <v>173112.88</v>
      </c>
      <c r="E179" s="6">
        <v>57127.25</v>
      </c>
      <c r="F179" s="6">
        <v>57127.25</v>
      </c>
      <c r="G179" s="6">
        <v>39642.85</v>
      </c>
      <c r="H179" s="6">
        <f>SUM(Table134[[#This Row],[NOVEMBER PAYMENT]:[MAY PAYMENT 
(BUDGET REDUCTION)]])</f>
        <v>153897.35</v>
      </c>
    </row>
    <row r="180" spans="1:8" x14ac:dyDescent="0.25">
      <c r="A180" t="str">
        <f>"054338"</f>
        <v>054338</v>
      </c>
      <c r="B180" t="s">
        <v>180</v>
      </c>
      <c r="C180">
        <v>288</v>
      </c>
      <c r="D180" s="6">
        <v>123102.5</v>
      </c>
      <c r="E180" s="6">
        <v>40623.83</v>
      </c>
      <c r="F180" s="6">
        <v>40623.819999999992</v>
      </c>
      <c r="G180" s="6">
        <v>28190.47</v>
      </c>
      <c r="H180" s="6">
        <f>SUM(Table134[[#This Row],[NOVEMBER PAYMENT]:[MAY PAYMENT 
(BUDGET REDUCTION)]])</f>
        <v>109438.12</v>
      </c>
    </row>
    <row r="181" spans="1:8" x14ac:dyDescent="0.25">
      <c r="A181" t="str">
        <f>"054346"</f>
        <v>054346</v>
      </c>
      <c r="B181" t="s">
        <v>180</v>
      </c>
      <c r="C181">
        <v>206</v>
      </c>
      <c r="D181" s="6">
        <v>88052.479999999996</v>
      </c>
      <c r="E181" s="6">
        <v>29057.32</v>
      </c>
      <c r="F181" s="6">
        <v>29057.32</v>
      </c>
      <c r="G181" s="6">
        <v>20164.009999999998</v>
      </c>
      <c r="H181" s="6">
        <f>SUM(Table134[[#This Row],[NOVEMBER PAYMENT]:[MAY PAYMENT 
(BUDGET REDUCTION)]])</f>
        <v>78278.649999999994</v>
      </c>
    </row>
    <row r="182" spans="1:8" x14ac:dyDescent="0.25">
      <c r="A182" t="str">
        <f>"054361"</f>
        <v>054361</v>
      </c>
      <c r="B182" t="s">
        <v>181</v>
      </c>
      <c r="C182">
        <v>184</v>
      </c>
      <c r="D182" s="6">
        <v>78648.820000000007</v>
      </c>
      <c r="E182" s="6">
        <v>25954.11</v>
      </c>
      <c r="F182" s="6">
        <v>25954.11</v>
      </c>
      <c r="G182" s="6">
        <v>18010.580000000002</v>
      </c>
      <c r="H182" s="6">
        <f>SUM(Table134[[#This Row],[NOVEMBER PAYMENT]:[MAY PAYMENT 
(BUDGET REDUCTION)]])</f>
        <v>69918.8</v>
      </c>
    </row>
    <row r="183" spans="1:8" x14ac:dyDescent="0.25">
      <c r="A183" t="str">
        <f>"054387"</f>
        <v>054387</v>
      </c>
      <c r="B183" t="s">
        <v>182</v>
      </c>
      <c r="C183">
        <v>158</v>
      </c>
      <c r="D183" s="6">
        <v>67535.399999999994</v>
      </c>
      <c r="E183" s="6">
        <v>22286.68</v>
      </c>
      <c r="F183" s="6">
        <v>22286.68</v>
      </c>
      <c r="G183" s="6">
        <v>15465.61</v>
      </c>
      <c r="H183" s="6">
        <f>SUM(Table134[[#This Row],[NOVEMBER PAYMENT]:[MAY PAYMENT 
(BUDGET REDUCTION)]])</f>
        <v>60038.97</v>
      </c>
    </row>
    <row r="184" spans="1:8" x14ac:dyDescent="0.25">
      <c r="A184" t="str">
        <f>"054411"</f>
        <v>054411</v>
      </c>
      <c r="B184" t="s">
        <v>183</v>
      </c>
      <c r="C184">
        <v>130</v>
      </c>
      <c r="D184" s="6">
        <v>54873.04</v>
      </c>
      <c r="E184" s="6">
        <v>18108.099999999999</v>
      </c>
      <c r="F184" s="6">
        <v>18108.11</v>
      </c>
      <c r="G184" s="6">
        <v>12565.92</v>
      </c>
      <c r="H184" s="6">
        <f>SUM(Table134[[#This Row],[NOVEMBER PAYMENT]:[MAY PAYMENT 
(BUDGET REDUCTION)]])</f>
        <v>48782.13</v>
      </c>
    </row>
    <row r="185" spans="1:8" x14ac:dyDescent="0.25">
      <c r="A185" t="str">
        <f>"054429"</f>
        <v>054429</v>
      </c>
      <c r="B185" t="s">
        <v>183</v>
      </c>
      <c r="C185">
        <v>289</v>
      </c>
      <c r="D185" s="6">
        <v>123529.93</v>
      </c>
      <c r="E185" s="6">
        <v>40764.879999999997</v>
      </c>
      <c r="F185" s="6">
        <v>40764.870000000003</v>
      </c>
      <c r="G185" s="6">
        <v>28288.36</v>
      </c>
      <c r="H185" s="6">
        <f>SUM(Table134[[#This Row],[NOVEMBER PAYMENT]:[MAY PAYMENT 
(BUDGET REDUCTION)]])</f>
        <v>109818.11</v>
      </c>
    </row>
    <row r="186" spans="1:8" x14ac:dyDescent="0.25">
      <c r="A186" t="str">
        <f>"054437"</f>
        <v>054437</v>
      </c>
      <c r="B186" t="s">
        <v>184</v>
      </c>
      <c r="C186">
        <v>543</v>
      </c>
      <c r="D186" s="6">
        <v>232099.5</v>
      </c>
      <c r="E186" s="6">
        <v>76592.84</v>
      </c>
      <c r="F186" s="6">
        <v>76592.830000000016</v>
      </c>
      <c r="G186" s="6">
        <v>53150.79</v>
      </c>
      <c r="H186" s="6">
        <f>SUM(Table134[[#This Row],[NOVEMBER PAYMENT]:[MAY PAYMENT 
(BUDGET REDUCTION)]])</f>
        <v>206336.46000000002</v>
      </c>
    </row>
    <row r="187" spans="1:8" x14ac:dyDescent="0.25">
      <c r="A187" t="str">
        <f>"054445"</f>
        <v>054445</v>
      </c>
      <c r="B187" t="s">
        <v>185</v>
      </c>
      <c r="C187">
        <v>838</v>
      </c>
      <c r="D187" s="6">
        <v>358194.07</v>
      </c>
      <c r="E187" s="6">
        <v>118204.04</v>
      </c>
      <c r="F187" s="6">
        <v>118204.05</v>
      </c>
      <c r="G187" s="6">
        <v>82026.44</v>
      </c>
      <c r="H187" s="6">
        <f>SUM(Table134[[#This Row],[NOVEMBER PAYMENT]:[MAY PAYMENT 
(BUDGET REDUCTION)]])</f>
        <v>318434.53000000003</v>
      </c>
    </row>
    <row r="188" spans="1:8" x14ac:dyDescent="0.25">
      <c r="A188" t="str">
        <f>"054486"</f>
        <v>054486</v>
      </c>
      <c r="B188" t="s">
        <v>186</v>
      </c>
      <c r="C188">
        <v>375</v>
      </c>
      <c r="D188" s="6">
        <v>160289.71</v>
      </c>
      <c r="E188" s="6">
        <v>52895.6</v>
      </c>
      <c r="F188" s="6">
        <v>52895.610000000008</v>
      </c>
      <c r="G188" s="6">
        <v>36706.339999999997</v>
      </c>
      <c r="H188" s="6">
        <f>SUM(Table134[[#This Row],[NOVEMBER PAYMENT]:[MAY PAYMENT 
(BUDGET REDUCTION)]])</f>
        <v>142497.54999999999</v>
      </c>
    </row>
    <row r="189" spans="1:8" x14ac:dyDescent="0.25">
      <c r="A189" t="str">
        <f>"054510"</f>
        <v>054510</v>
      </c>
      <c r="B189" t="s">
        <v>187</v>
      </c>
      <c r="C189">
        <v>295</v>
      </c>
      <c r="D189" s="6">
        <v>126094.57</v>
      </c>
      <c r="E189" s="6">
        <v>41611.21</v>
      </c>
      <c r="F189" s="6">
        <v>41611.21</v>
      </c>
      <c r="G189" s="6">
        <v>28875.65</v>
      </c>
      <c r="H189" s="6">
        <f>SUM(Table134[[#This Row],[NOVEMBER PAYMENT]:[MAY PAYMENT 
(BUDGET REDUCTION)]])</f>
        <v>112098.07</v>
      </c>
    </row>
    <row r="190" spans="1:8" x14ac:dyDescent="0.25">
      <c r="A190" t="str">
        <f>"054544"</f>
        <v>054544</v>
      </c>
      <c r="B190" t="s">
        <v>188</v>
      </c>
      <c r="C190">
        <v>191</v>
      </c>
      <c r="D190" s="6">
        <v>76405.31</v>
      </c>
      <c r="E190" s="6">
        <v>25213.75</v>
      </c>
      <c r="F190" s="6">
        <v>25213.75</v>
      </c>
      <c r="G190" s="6">
        <v>17496.82</v>
      </c>
      <c r="H190" s="6">
        <f>SUM(Table134[[#This Row],[NOVEMBER PAYMENT]:[MAY PAYMENT 
(BUDGET REDUCTION)]])</f>
        <v>67924.320000000007</v>
      </c>
    </row>
    <row r="191" spans="1:8" x14ac:dyDescent="0.25">
      <c r="A191" t="str">
        <f>"054577"</f>
        <v>054577</v>
      </c>
      <c r="B191" t="s">
        <v>189</v>
      </c>
      <c r="C191">
        <v>401</v>
      </c>
      <c r="D191" s="6">
        <v>171403.13</v>
      </c>
      <c r="E191" s="6">
        <v>56563.03</v>
      </c>
      <c r="F191" s="6">
        <v>56563.040000000008</v>
      </c>
      <c r="G191" s="6">
        <v>39251.31</v>
      </c>
      <c r="H191" s="6">
        <f>SUM(Table134[[#This Row],[NOVEMBER PAYMENT]:[MAY PAYMENT 
(BUDGET REDUCTION)]])</f>
        <v>152377.38</v>
      </c>
    </row>
    <row r="192" spans="1:8" x14ac:dyDescent="0.25">
      <c r="A192" t="str">
        <f>"054585"</f>
        <v>054585</v>
      </c>
      <c r="B192" t="s">
        <v>190</v>
      </c>
      <c r="C192">
        <v>762</v>
      </c>
      <c r="D192" s="6">
        <v>325708.69</v>
      </c>
      <c r="E192" s="6">
        <v>107483.87</v>
      </c>
      <c r="F192" s="6">
        <v>107483.87</v>
      </c>
      <c r="G192" s="6">
        <v>74587.289999999994</v>
      </c>
      <c r="H192" s="6">
        <f>SUM(Table134[[#This Row],[NOVEMBER PAYMENT]:[MAY PAYMENT 
(BUDGET REDUCTION)]])</f>
        <v>289555.02999999997</v>
      </c>
    </row>
    <row r="193" spans="1:8" x14ac:dyDescent="0.25">
      <c r="A193" t="str">
        <f>"054601"</f>
        <v>054601</v>
      </c>
      <c r="B193" t="s">
        <v>191</v>
      </c>
      <c r="C193">
        <v>192</v>
      </c>
      <c r="D193" s="6">
        <v>82068.33</v>
      </c>
      <c r="E193" s="6">
        <v>27082.55</v>
      </c>
      <c r="F193" s="6">
        <v>27082.55</v>
      </c>
      <c r="G193" s="6">
        <v>18793.650000000001</v>
      </c>
      <c r="H193" s="6">
        <f>SUM(Table134[[#This Row],[NOVEMBER PAYMENT]:[MAY PAYMENT 
(BUDGET REDUCTION)]])</f>
        <v>72958.75</v>
      </c>
    </row>
    <row r="194" spans="1:8" x14ac:dyDescent="0.25">
      <c r="A194" t="str">
        <f>"054627"</f>
        <v>054627</v>
      </c>
      <c r="B194" t="s">
        <v>192</v>
      </c>
      <c r="C194">
        <v>164</v>
      </c>
      <c r="D194" s="6">
        <v>70100.03</v>
      </c>
      <c r="E194" s="6">
        <v>23133.01</v>
      </c>
      <c r="F194" s="6">
        <v>23133.01</v>
      </c>
      <c r="G194" s="6">
        <v>16052.91</v>
      </c>
      <c r="H194" s="6">
        <f>SUM(Table134[[#This Row],[NOVEMBER PAYMENT]:[MAY PAYMENT 
(BUDGET REDUCTION)]])</f>
        <v>62318.929999999993</v>
      </c>
    </row>
    <row r="195" spans="1:8" x14ac:dyDescent="0.25">
      <c r="A195" t="str">
        <f>"054635"</f>
        <v>054635</v>
      </c>
      <c r="B195" t="s">
        <v>193</v>
      </c>
      <c r="C195">
        <v>192</v>
      </c>
      <c r="D195" s="6">
        <v>82068.33</v>
      </c>
      <c r="E195" s="6">
        <v>27082.55</v>
      </c>
      <c r="F195" s="6">
        <v>27082.55</v>
      </c>
      <c r="G195" s="6">
        <v>18793.650000000001</v>
      </c>
      <c r="H195" s="6">
        <f>SUM(Table134[[#This Row],[NOVEMBER PAYMENT]:[MAY PAYMENT 
(BUDGET REDUCTION)]])</f>
        <v>72958.75</v>
      </c>
    </row>
    <row r="196" spans="1:8" x14ac:dyDescent="0.25">
      <c r="A196" t="str">
        <f>"054650"</f>
        <v>054650</v>
      </c>
      <c r="B196" t="s">
        <v>194</v>
      </c>
      <c r="C196">
        <v>450</v>
      </c>
      <c r="D196" s="6">
        <v>160492.96</v>
      </c>
      <c r="E196" s="6">
        <v>52962.68</v>
      </c>
      <c r="F196" s="6">
        <v>52962.670000000006</v>
      </c>
      <c r="G196" s="6">
        <v>36752.89</v>
      </c>
      <c r="H196" s="6">
        <f>SUM(Table134[[#This Row],[NOVEMBER PAYMENT]:[MAY PAYMENT 
(BUDGET REDUCTION)]])</f>
        <v>142678.24</v>
      </c>
    </row>
    <row r="197" spans="1:8" x14ac:dyDescent="0.25">
      <c r="A197" t="str">
        <f>"054692"</f>
        <v>054692</v>
      </c>
      <c r="B197" t="s">
        <v>195</v>
      </c>
      <c r="C197">
        <v>269</v>
      </c>
      <c r="D197" s="6">
        <v>114981.15</v>
      </c>
      <c r="E197" s="6">
        <v>37943.78</v>
      </c>
      <c r="F197" s="6">
        <v>37943.78</v>
      </c>
      <c r="G197" s="6">
        <v>26330.68</v>
      </c>
      <c r="H197" s="6">
        <f>SUM(Table134[[#This Row],[NOVEMBER PAYMENT]:[MAY PAYMENT 
(BUDGET REDUCTION)]])</f>
        <v>102218.23999999999</v>
      </c>
    </row>
    <row r="198" spans="1:8" x14ac:dyDescent="0.25">
      <c r="A198" t="str">
        <f>"054718"</f>
        <v>054718</v>
      </c>
      <c r="B198" t="s">
        <v>196</v>
      </c>
      <c r="C198">
        <v>141</v>
      </c>
      <c r="D198" s="6">
        <v>60268.93</v>
      </c>
      <c r="E198" s="6">
        <v>19888.75</v>
      </c>
      <c r="F198" s="6">
        <v>19888.739999999998</v>
      </c>
      <c r="G198" s="6">
        <v>13801.59</v>
      </c>
      <c r="H198" s="6">
        <f>SUM(Table134[[#This Row],[NOVEMBER PAYMENT]:[MAY PAYMENT 
(BUDGET REDUCTION)]])</f>
        <v>53579.08</v>
      </c>
    </row>
    <row r="199" spans="1:8" x14ac:dyDescent="0.25">
      <c r="A199" t="str">
        <f>"054726"</f>
        <v>054726</v>
      </c>
      <c r="B199" t="s">
        <v>197</v>
      </c>
      <c r="C199">
        <v>97</v>
      </c>
      <c r="D199" s="6">
        <v>41461.599999999999</v>
      </c>
      <c r="E199" s="6">
        <v>13682.33</v>
      </c>
      <c r="F199" s="6">
        <v>13682.33</v>
      </c>
      <c r="G199" s="6">
        <v>9494.7000000000007</v>
      </c>
      <c r="H199" s="6">
        <f>SUM(Table134[[#This Row],[NOVEMBER PAYMENT]:[MAY PAYMENT 
(BUDGET REDUCTION)]])</f>
        <v>36859.360000000001</v>
      </c>
    </row>
    <row r="200" spans="1:8" x14ac:dyDescent="0.25">
      <c r="A200" t="str">
        <f>"054742"</f>
        <v>054742</v>
      </c>
      <c r="B200" t="s">
        <v>198</v>
      </c>
      <c r="C200">
        <v>404</v>
      </c>
      <c r="D200" s="6">
        <v>172685.44</v>
      </c>
      <c r="E200" s="6">
        <v>56986.2</v>
      </c>
      <c r="F200" s="6">
        <v>56986.19</v>
      </c>
      <c r="G200" s="6">
        <v>39544.97</v>
      </c>
      <c r="H200" s="6">
        <f>SUM(Table134[[#This Row],[NOVEMBER PAYMENT]:[MAY PAYMENT 
(BUDGET REDUCTION)]])</f>
        <v>153517.35999999999</v>
      </c>
    </row>
    <row r="201" spans="1:8" x14ac:dyDescent="0.25">
      <c r="A201" t="str">
        <f>"054759"</f>
        <v>054759</v>
      </c>
      <c r="B201" t="s">
        <v>199</v>
      </c>
      <c r="C201">
        <v>170</v>
      </c>
      <c r="D201" s="6">
        <v>72664.67</v>
      </c>
      <c r="E201" s="6">
        <v>23979.34</v>
      </c>
      <c r="F201" s="6">
        <v>23979.34</v>
      </c>
      <c r="G201" s="6">
        <v>16640.21</v>
      </c>
      <c r="H201" s="6">
        <f>SUM(Table134[[#This Row],[NOVEMBER PAYMENT]:[MAY PAYMENT 
(BUDGET REDUCTION)]])</f>
        <v>64598.89</v>
      </c>
    </row>
    <row r="202" spans="1:8" x14ac:dyDescent="0.25">
      <c r="A202" t="str">
        <f>"054775"</f>
        <v>054775</v>
      </c>
      <c r="B202" t="s">
        <v>200</v>
      </c>
      <c r="C202">
        <v>196</v>
      </c>
      <c r="D202" s="6">
        <v>83778.09</v>
      </c>
      <c r="E202" s="6">
        <v>27646.77</v>
      </c>
      <c r="F202" s="6">
        <v>27646.77</v>
      </c>
      <c r="G202" s="6">
        <v>19185.18</v>
      </c>
      <c r="H202" s="6">
        <f>SUM(Table134[[#This Row],[NOVEMBER PAYMENT]:[MAY PAYMENT 
(BUDGET REDUCTION)]])</f>
        <v>74478.720000000001</v>
      </c>
    </row>
    <row r="203" spans="1:8" x14ac:dyDescent="0.25">
      <c r="A203" t="str">
        <f>"054783"</f>
        <v>054783</v>
      </c>
      <c r="B203" t="s">
        <v>201</v>
      </c>
      <c r="C203">
        <v>387</v>
      </c>
      <c r="D203" s="6">
        <v>165418.98000000001</v>
      </c>
      <c r="E203" s="6">
        <v>54588.26</v>
      </c>
      <c r="F203" s="6">
        <v>54588.27</v>
      </c>
      <c r="G203" s="6">
        <v>37880.94</v>
      </c>
      <c r="H203" s="6">
        <f>SUM(Table134[[#This Row],[NOVEMBER PAYMENT]:[MAY PAYMENT 
(BUDGET REDUCTION)]])</f>
        <v>147057.47</v>
      </c>
    </row>
    <row r="204" spans="1:8" x14ac:dyDescent="0.25">
      <c r="A204" t="str">
        <f>"054809"</f>
        <v>054809</v>
      </c>
      <c r="B204" t="s">
        <v>202</v>
      </c>
      <c r="C204">
        <v>405</v>
      </c>
      <c r="D204" s="6">
        <v>173112.88</v>
      </c>
      <c r="E204" s="6">
        <v>57127.25</v>
      </c>
      <c r="F204" s="6">
        <v>57127.25</v>
      </c>
      <c r="G204" s="6">
        <v>39642.85</v>
      </c>
      <c r="H204" s="6">
        <f>SUM(Table134[[#This Row],[NOVEMBER PAYMENT]:[MAY PAYMENT 
(BUDGET REDUCTION)]])</f>
        <v>153897.35</v>
      </c>
    </row>
    <row r="205" spans="1:8" x14ac:dyDescent="0.25">
      <c r="A205" t="str">
        <f>"054817"</f>
        <v>054817</v>
      </c>
      <c r="B205" t="s">
        <v>203</v>
      </c>
      <c r="C205">
        <v>210</v>
      </c>
      <c r="D205" s="6">
        <v>89762.240000000005</v>
      </c>
      <c r="E205" s="6">
        <v>29621.54</v>
      </c>
      <c r="F205" s="6">
        <v>29621.54</v>
      </c>
      <c r="G205" s="6">
        <v>20555.55</v>
      </c>
      <c r="H205" s="6">
        <f>SUM(Table134[[#This Row],[NOVEMBER PAYMENT]:[MAY PAYMENT 
(BUDGET REDUCTION)]])</f>
        <v>79798.63</v>
      </c>
    </row>
    <row r="206" spans="1:8" x14ac:dyDescent="0.25">
      <c r="A206" t="str">
        <f>"054833"</f>
        <v>054833</v>
      </c>
      <c r="B206" t="s">
        <v>204</v>
      </c>
      <c r="C206">
        <v>205</v>
      </c>
      <c r="D206" s="6">
        <v>87625.04</v>
      </c>
      <c r="E206" s="6">
        <v>28916.26</v>
      </c>
      <c r="F206" s="6">
        <v>28916.27</v>
      </c>
      <c r="G206" s="6">
        <v>20066.13</v>
      </c>
      <c r="H206" s="6">
        <f>SUM(Table134[[#This Row],[NOVEMBER PAYMENT]:[MAY PAYMENT 
(BUDGET REDUCTION)]])</f>
        <v>77898.66</v>
      </c>
    </row>
    <row r="207" spans="1:8" x14ac:dyDescent="0.25">
      <c r="A207" t="str">
        <f>"054866"</f>
        <v>054866</v>
      </c>
      <c r="B207" t="s">
        <v>205</v>
      </c>
      <c r="C207">
        <v>187</v>
      </c>
      <c r="D207" s="6">
        <v>79931.13</v>
      </c>
      <c r="E207" s="6">
        <v>26377.27</v>
      </c>
      <c r="F207" s="6">
        <v>26377.280000000002</v>
      </c>
      <c r="G207" s="6">
        <v>18304.22</v>
      </c>
      <c r="H207" s="6">
        <f>SUM(Table134[[#This Row],[NOVEMBER PAYMENT]:[MAY PAYMENT 
(BUDGET REDUCTION)]])</f>
        <v>71058.77</v>
      </c>
    </row>
    <row r="208" spans="1:8" x14ac:dyDescent="0.25">
      <c r="A208" t="str">
        <f>"054882"</f>
        <v>054882</v>
      </c>
      <c r="B208" t="s">
        <v>206</v>
      </c>
      <c r="C208">
        <v>205</v>
      </c>
      <c r="D208" s="6">
        <v>87625.04</v>
      </c>
      <c r="E208" s="6">
        <v>28916.26</v>
      </c>
      <c r="F208" s="6">
        <v>28916.27</v>
      </c>
      <c r="G208" s="6">
        <v>20066.13</v>
      </c>
      <c r="H208" s="6">
        <f>SUM(Table134[[#This Row],[NOVEMBER PAYMENT]:[MAY PAYMENT 
(BUDGET REDUCTION)]])</f>
        <v>77898.66</v>
      </c>
    </row>
    <row r="209" spans="1:8" x14ac:dyDescent="0.25">
      <c r="A209" t="str">
        <f>"054890"</f>
        <v>054890</v>
      </c>
      <c r="B209" t="s">
        <v>207</v>
      </c>
      <c r="C209">
        <v>155</v>
      </c>
      <c r="D209" s="6">
        <v>66253.08</v>
      </c>
      <c r="E209" s="6">
        <v>21863.52</v>
      </c>
      <c r="F209" s="6">
        <v>21863.51</v>
      </c>
      <c r="G209" s="6">
        <v>15171.96</v>
      </c>
      <c r="H209" s="6">
        <f>SUM(Table134[[#This Row],[NOVEMBER PAYMENT]:[MAY PAYMENT 
(BUDGET REDUCTION)]])</f>
        <v>58898.99</v>
      </c>
    </row>
    <row r="210" spans="1:8" x14ac:dyDescent="0.25">
      <c r="A210" t="str">
        <f>"054908"</f>
        <v>054908</v>
      </c>
      <c r="B210" t="s">
        <v>208</v>
      </c>
      <c r="C210">
        <v>229</v>
      </c>
      <c r="D210" s="6">
        <v>97883.58</v>
      </c>
      <c r="E210" s="6">
        <v>32301.58</v>
      </c>
      <c r="F210" s="6">
        <v>32301.58</v>
      </c>
      <c r="G210" s="6">
        <v>22415.34</v>
      </c>
      <c r="H210" s="6">
        <f>SUM(Table134[[#This Row],[NOVEMBER PAYMENT]:[MAY PAYMENT 
(BUDGET REDUCTION)]])</f>
        <v>87018.5</v>
      </c>
    </row>
    <row r="211" spans="1:8" x14ac:dyDescent="0.25">
      <c r="A211" t="str">
        <f>"054916"</f>
        <v>054916</v>
      </c>
      <c r="B211" t="s">
        <v>209</v>
      </c>
      <c r="C211">
        <v>411</v>
      </c>
      <c r="D211" s="6">
        <v>175677.52</v>
      </c>
      <c r="E211" s="6">
        <v>57973.58</v>
      </c>
      <c r="F211" s="6">
        <v>57973.58</v>
      </c>
      <c r="G211" s="6">
        <v>40230.160000000003</v>
      </c>
      <c r="H211" s="6">
        <f>SUM(Table134[[#This Row],[NOVEMBER PAYMENT]:[MAY PAYMENT 
(BUDGET REDUCTION)]])</f>
        <v>156177.32</v>
      </c>
    </row>
    <row r="212" spans="1:8" x14ac:dyDescent="0.25">
      <c r="A212" t="str">
        <f>"054932"</f>
        <v>054932</v>
      </c>
      <c r="B212" t="s">
        <v>210</v>
      </c>
      <c r="C212">
        <v>290</v>
      </c>
      <c r="D212" s="6">
        <v>123957.37</v>
      </c>
      <c r="E212" s="6">
        <v>40905.93</v>
      </c>
      <c r="F212" s="6">
        <v>40905.93</v>
      </c>
      <c r="G212" s="6">
        <v>28386.240000000002</v>
      </c>
      <c r="H212" s="6">
        <f>SUM(Table134[[#This Row],[NOVEMBER PAYMENT]:[MAY PAYMENT 
(BUDGET REDUCTION)]])</f>
        <v>110198.1</v>
      </c>
    </row>
    <row r="213" spans="1:8" x14ac:dyDescent="0.25">
      <c r="A213" t="str">
        <f>"054957"</f>
        <v>054957</v>
      </c>
      <c r="B213" t="s">
        <v>211</v>
      </c>
      <c r="C213">
        <v>286</v>
      </c>
      <c r="D213" s="6">
        <v>122247.62</v>
      </c>
      <c r="E213" s="6">
        <v>40341.71</v>
      </c>
      <c r="F213" s="6">
        <v>40341.719999999994</v>
      </c>
      <c r="G213" s="6">
        <v>27994.7</v>
      </c>
      <c r="H213" s="6">
        <f>SUM(Table134[[#This Row],[NOVEMBER PAYMENT]:[MAY PAYMENT 
(BUDGET REDUCTION)]])</f>
        <v>108678.12999999999</v>
      </c>
    </row>
    <row r="214" spans="1:8" x14ac:dyDescent="0.25">
      <c r="A214" t="str">
        <f>"054965"</f>
        <v>054965</v>
      </c>
      <c r="B214" t="s">
        <v>212</v>
      </c>
      <c r="C214">
        <v>492</v>
      </c>
      <c r="D214" s="6">
        <v>210300.1</v>
      </c>
      <c r="E214" s="6">
        <v>69399.03</v>
      </c>
      <c r="F214" s="6">
        <v>69399.040000000008</v>
      </c>
      <c r="G214" s="6">
        <v>48158.720000000001</v>
      </c>
      <c r="H214" s="6">
        <f>SUM(Table134[[#This Row],[NOVEMBER PAYMENT]:[MAY PAYMENT 
(BUDGET REDUCTION)]])</f>
        <v>186956.79</v>
      </c>
    </row>
    <row r="215" spans="1:8" x14ac:dyDescent="0.25">
      <c r="A215" t="str">
        <f>"054973"</f>
        <v>054973</v>
      </c>
      <c r="B215" t="s">
        <v>213</v>
      </c>
      <c r="C215">
        <v>364</v>
      </c>
      <c r="D215" s="6">
        <v>155587.88</v>
      </c>
      <c r="E215" s="6">
        <v>51344</v>
      </c>
      <c r="F215" s="6">
        <v>51344</v>
      </c>
      <c r="G215" s="6">
        <v>35629.629999999997</v>
      </c>
      <c r="H215" s="6">
        <f>SUM(Table134[[#This Row],[NOVEMBER PAYMENT]:[MAY PAYMENT 
(BUDGET REDUCTION)]])</f>
        <v>138317.63</v>
      </c>
    </row>
    <row r="216" spans="1:8" x14ac:dyDescent="0.25">
      <c r="A216" t="str">
        <f>"054999"</f>
        <v>054999</v>
      </c>
      <c r="B216" t="s">
        <v>214</v>
      </c>
      <c r="C216">
        <v>215</v>
      </c>
      <c r="D216" s="6">
        <v>91899.43</v>
      </c>
      <c r="E216" s="6">
        <v>30326.81</v>
      </c>
      <c r="F216" s="6">
        <v>30326.81</v>
      </c>
      <c r="G216" s="6">
        <v>21044.97</v>
      </c>
      <c r="H216" s="6">
        <f>SUM(Table134[[#This Row],[NOVEMBER PAYMENT]:[MAY PAYMENT 
(BUDGET REDUCTION)]])</f>
        <v>81698.59</v>
      </c>
    </row>
    <row r="217" spans="1:8" x14ac:dyDescent="0.25">
      <c r="A217" t="str">
        <f>"055004"</f>
        <v>055004</v>
      </c>
      <c r="B217" t="s">
        <v>214</v>
      </c>
      <c r="C217">
        <v>172</v>
      </c>
      <c r="D217" s="6">
        <v>73519.55</v>
      </c>
      <c r="E217" s="6">
        <v>24261.45</v>
      </c>
      <c r="F217" s="6">
        <v>24261.45</v>
      </c>
      <c r="G217" s="6">
        <v>16835.98</v>
      </c>
      <c r="H217" s="6">
        <f>SUM(Table134[[#This Row],[NOVEMBER PAYMENT]:[MAY PAYMENT 
(BUDGET REDUCTION)]])</f>
        <v>65358.880000000005</v>
      </c>
    </row>
    <row r="218" spans="1:8" x14ac:dyDescent="0.25">
      <c r="A218" t="str">
        <f>"055012"</f>
        <v>055012</v>
      </c>
      <c r="B218" t="s">
        <v>215</v>
      </c>
      <c r="C218">
        <v>176</v>
      </c>
      <c r="D218" s="6">
        <v>75229.3</v>
      </c>
      <c r="E218" s="6">
        <v>24825.67</v>
      </c>
      <c r="F218" s="6">
        <v>24825.67</v>
      </c>
      <c r="G218" s="6">
        <v>17227.509999999998</v>
      </c>
      <c r="H218" s="6">
        <f>SUM(Table134[[#This Row],[NOVEMBER PAYMENT]:[MAY PAYMENT 
(BUDGET REDUCTION)]])</f>
        <v>66878.849999999991</v>
      </c>
    </row>
    <row r="219" spans="1:8" x14ac:dyDescent="0.25">
      <c r="A219" t="str">
        <f>"055020"</f>
        <v>055020</v>
      </c>
      <c r="B219" t="s">
        <v>216</v>
      </c>
      <c r="C219">
        <v>329</v>
      </c>
      <c r="D219" s="6">
        <v>140627.5</v>
      </c>
      <c r="E219" s="6">
        <v>46407.08</v>
      </c>
      <c r="F219" s="6">
        <v>46407.069999999992</v>
      </c>
      <c r="G219" s="6">
        <v>32203.7</v>
      </c>
      <c r="H219" s="6">
        <f>SUM(Table134[[#This Row],[NOVEMBER PAYMENT]:[MAY PAYMENT 
(BUDGET REDUCTION)]])</f>
        <v>125017.84999999999</v>
      </c>
    </row>
    <row r="220" spans="1:8" x14ac:dyDescent="0.25">
      <c r="A220" t="str">
        <f>"055038"</f>
        <v>055038</v>
      </c>
      <c r="B220" t="s">
        <v>217</v>
      </c>
      <c r="C220">
        <v>186</v>
      </c>
      <c r="D220" s="6">
        <v>79503.69</v>
      </c>
      <c r="E220" s="6">
        <v>26236.22</v>
      </c>
      <c r="F220" s="6">
        <v>26236.22</v>
      </c>
      <c r="G220" s="6">
        <v>18206.34</v>
      </c>
      <c r="H220" s="6">
        <f>SUM(Table134[[#This Row],[NOVEMBER PAYMENT]:[MAY PAYMENT 
(BUDGET REDUCTION)]])</f>
        <v>70678.78</v>
      </c>
    </row>
    <row r="221" spans="1:8" x14ac:dyDescent="0.25">
      <c r="A221" t="str">
        <f>"055046"</f>
        <v>055046</v>
      </c>
      <c r="B221" t="s">
        <v>218</v>
      </c>
      <c r="C221">
        <v>342</v>
      </c>
      <c r="D221" s="6">
        <v>146184.21</v>
      </c>
      <c r="E221" s="6">
        <v>48240.79</v>
      </c>
      <c r="F221" s="6">
        <v>48240.79</v>
      </c>
      <c r="G221" s="6">
        <v>33476.18</v>
      </c>
      <c r="H221" s="6">
        <f>SUM(Table134[[#This Row],[NOVEMBER PAYMENT]:[MAY PAYMENT 
(BUDGET REDUCTION)]])</f>
        <v>129957.76000000001</v>
      </c>
    </row>
    <row r="222" spans="1:8" x14ac:dyDescent="0.25">
      <c r="A222" t="str">
        <f>"055053"</f>
        <v>055053</v>
      </c>
      <c r="B222" t="s">
        <v>219</v>
      </c>
      <c r="C222">
        <v>389</v>
      </c>
      <c r="D222" s="6">
        <v>166273.85999999999</v>
      </c>
      <c r="E222" s="6">
        <v>54870.37</v>
      </c>
      <c r="F222" s="6">
        <v>54870.38</v>
      </c>
      <c r="G222" s="6">
        <v>38076.71</v>
      </c>
      <c r="H222" s="6">
        <f>SUM(Table134[[#This Row],[NOVEMBER PAYMENT]:[MAY PAYMENT 
(BUDGET REDUCTION)]])</f>
        <v>147817.46</v>
      </c>
    </row>
    <row r="223" spans="1:8" x14ac:dyDescent="0.25">
      <c r="A223" t="str">
        <f>"055087"</f>
        <v>055087</v>
      </c>
      <c r="B223" t="s">
        <v>220</v>
      </c>
      <c r="C223">
        <v>1029</v>
      </c>
      <c r="D223" s="6">
        <v>439834.96</v>
      </c>
      <c r="E223" s="6">
        <v>145145.54</v>
      </c>
      <c r="F223" s="6">
        <v>145145.53</v>
      </c>
      <c r="G223" s="6">
        <v>100722.21</v>
      </c>
      <c r="H223" s="6">
        <f>SUM(Table134[[#This Row],[NOVEMBER PAYMENT]:[MAY PAYMENT 
(BUDGET REDUCTION)]])</f>
        <v>391013.28</v>
      </c>
    </row>
    <row r="224" spans="1:8" x14ac:dyDescent="0.25">
      <c r="A224" t="str">
        <f>"055103"</f>
        <v>055103</v>
      </c>
      <c r="B224" t="s">
        <v>221</v>
      </c>
      <c r="C224">
        <v>554</v>
      </c>
      <c r="D224" s="6">
        <v>236801.33</v>
      </c>
      <c r="E224" s="6">
        <v>78144.44</v>
      </c>
      <c r="F224" s="6">
        <v>78144.44</v>
      </c>
      <c r="G224" s="6">
        <v>54227.5</v>
      </c>
      <c r="H224" s="6">
        <f>SUM(Table134[[#This Row],[NOVEMBER PAYMENT]:[MAY PAYMENT 
(BUDGET REDUCTION)]])</f>
        <v>210516.38</v>
      </c>
    </row>
    <row r="225" spans="1:8" x14ac:dyDescent="0.25">
      <c r="A225" t="str">
        <f>"055129"</f>
        <v>055129</v>
      </c>
      <c r="B225" t="s">
        <v>222</v>
      </c>
      <c r="C225">
        <v>345</v>
      </c>
      <c r="D225" s="6">
        <v>147466.53</v>
      </c>
      <c r="E225" s="6">
        <v>48663.95</v>
      </c>
      <c r="F225" s="6">
        <v>48663.960000000006</v>
      </c>
      <c r="G225" s="6">
        <v>33769.839999999997</v>
      </c>
      <c r="H225" s="6">
        <f>SUM(Table134[[#This Row],[NOVEMBER PAYMENT]:[MAY PAYMENT 
(BUDGET REDUCTION)]])</f>
        <v>131097.75</v>
      </c>
    </row>
    <row r="226" spans="1:8" x14ac:dyDescent="0.25">
      <c r="A226" t="str">
        <f>"055137"</f>
        <v>055137</v>
      </c>
      <c r="B226" t="s">
        <v>223</v>
      </c>
      <c r="C226">
        <v>387</v>
      </c>
      <c r="D226" s="6">
        <v>165418.98000000001</v>
      </c>
      <c r="E226" s="6">
        <v>54588.26</v>
      </c>
      <c r="F226" s="6">
        <v>54588.27</v>
      </c>
      <c r="G226" s="6">
        <v>37880.94</v>
      </c>
      <c r="H226" s="6">
        <f>SUM(Table134[[#This Row],[NOVEMBER PAYMENT]:[MAY PAYMENT 
(BUDGET REDUCTION)]])</f>
        <v>147057.47</v>
      </c>
    </row>
    <row r="227" spans="1:8" x14ac:dyDescent="0.25">
      <c r="A227" t="str">
        <f>"055145"</f>
        <v>055145</v>
      </c>
      <c r="B227" t="s">
        <v>223</v>
      </c>
      <c r="C227">
        <v>230</v>
      </c>
      <c r="D227" s="6">
        <v>98311.02</v>
      </c>
      <c r="E227" s="6">
        <v>32442.639999999999</v>
      </c>
      <c r="F227" s="6">
        <v>32442.629999999997</v>
      </c>
      <c r="G227" s="6">
        <v>22513.23</v>
      </c>
      <c r="H227" s="6">
        <f>SUM(Table134[[#This Row],[NOVEMBER PAYMENT]:[MAY PAYMENT 
(BUDGET REDUCTION)]])</f>
        <v>87398.5</v>
      </c>
    </row>
    <row r="228" spans="1:8" x14ac:dyDescent="0.25">
      <c r="A228" t="str">
        <f>"055152"</f>
        <v>055152</v>
      </c>
      <c r="B228" t="s">
        <v>224</v>
      </c>
      <c r="C228">
        <v>160</v>
      </c>
      <c r="D228" s="6">
        <v>68390.28</v>
      </c>
      <c r="E228" s="6">
        <v>22568.79</v>
      </c>
      <c r="F228" s="6">
        <v>22568.79</v>
      </c>
      <c r="G228" s="6">
        <v>15661.38</v>
      </c>
      <c r="H228" s="6">
        <f>SUM(Table134[[#This Row],[NOVEMBER PAYMENT]:[MAY PAYMENT 
(BUDGET REDUCTION)]])</f>
        <v>60798.96</v>
      </c>
    </row>
    <row r="229" spans="1:8" x14ac:dyDescent="0.25">
      <c r="A229" t="str">
        <f>"055160"</f>
        <v>055160</v>
      </c>
      <c r="B229" t="s">
        <v>225</v>
      </c>
      <c r="C229">
        <v>218</v>
      </c>
      <c r="D229" s="6">
        <v>83142.679999999993</v>
      </c>
      <c r="E229" s="6">
        <v>27437.08</v>
      </c>
      <c r="F229" s="6">
        <v>27437.089999999997</v>
      </c>
      <c r="G229" s="6">
        <v>19039.669999999998</v>
      </c>
      <c r="H229" s="6">
        <f>SUM(Table134[[#This Row],[NOVEMBER PAYMENT]:[MAY PAYMENT 
(BUDGET REDUCTION)]])</f>
        <v>73913.84</v>
      </c>
    </row>
    <row r="230" spans="1:8" x14ac:dyDescent="0.25">
      <c r="A230" t="str">
        <f>"055178"</f>
        <v>055178</v>
      </c>
      <c r="B230" t="s">
        <v>225</v>
      </c>
      <c r="C230">
        <v>196</v>
      </c>
      <c r="D230" s="6">
        <v>83778.09</v>
      </c>
      <c r="E230" s="6">
        <v>27646.77</v>
      </c>
      <c r="F230" s="6">
        <v>27646.77</v>
      </c>
      <c r="G230" s="6">
        <v>19185.18</v>
      </c>
      <c r="H230" s="6">
        <f>SUM(Table134[[#This Row],[NOVEMBER PAYMENT]:[MAY PAYMENT 
(BUDGET REDUCTION)]])</f>
        <v>74478.720000000001</v>
      </c>
    </row>
    <row r="231" spans="1:8" x14ac:dyDescent="0.25">
      <c r="A231" t="str">
        <f>"055202"</f>
        <v>055202</v>
      </c>
      <c r="B231" t="s">
        <v>226</v>
      </c>
      <c r="C231">
        <v>88</v>
      </c>
      <c r="D231" s="6">
        <v>37614.65</v>
      </c>
      <c r="E231" s="6">
        <v>12412.83</v>
      </c>
      <c r="F231" s="6">
        <v>12412.839999999998</v>
      </c>
      <c r="G231" s="6">
        <v>8613.75</v>
      </c>
      <c r="H231" s="6">
        <f>SUM(Table134[[#This Row],[NOVEMBER PAYMENT]:[MAY PAYMENT 
(BUDGET REDUCTION)]])</f>
        <v>33439.42</v>
      </c>
    </row>
    <row r="232" spans="1:8" x14ac:dyDescent="0.25">
      <c r="A232" t="str">
        <f>"055210"</f>
        <v>055210</v>
      </c>
      <c r="B232" t="s">
        <v>227</v>
      </c>
      <c r="C232">
        <v>463</v>
      </c>
      <c r="D232" s="6">
        <v>197904.36</v>
      </c>
      <c r="E232" s="6">
        <v>65308.44</v>
      </c>
      <c r="F232" s="6">
        <v>65308.44</v>
      </c>
      <c r="G232" s="6">
        <v>45320.1</v>
      </c>
      <c r="H232" s="6">
        <f>SUM(Table134[[#This Row],[NOVEMBER PAYMENT]:[MAY PAYMENT 
(BUDGET REDUCTION)]])</f>
        <v>175936.98</v>
      </c>
    </row>
    <row r="233" spans="1:8" x14ac:dyDescent="0.25">
      <c r="A233" t="str">
        <f>"055228"</f>
        <v>055228</v>
      </c>
      <c r="B233" t="s">
        <v>228</v>
      </c>
      <c r="C233">
        <v>318</v>
      </c>
      <c r="D233" s="6">
        <v>135925.67000000001</v>
      </c>
      <c r="E233" s="6">
        <v>44855.47</v>
      </c>
      <c r="F233" s="6">
        <v>44855.47</v>
      </c>
      <c r="G233" s="6">
        <v>31126.98</v>
      </c>
      <c r="H233" s="6">
        <f>SUM(Table134[[#This Row],[NOVEMBER PAYMENT]:[MAY PAYMENT 
(BUDGET REDUCTION)]])</f>
        <v>120837.92</v>
      </c>
    </row>
    <row r="234" spans="1:8" x14ac:dyDescent="0.25">
      <c r="A234" t="str">
        <f>"055244"</f>
        <v>055244</v>
      </c>
      <c r="B234" t="s">
        <v>229</v>
      </c>
      <c r="C234">
        <v>126</v>
      </c>
      <c r="D234" s="6">
        <v>53857.34</v>
      </c>
      <c r="E234" s="6">
        <v>17772.919999999998</v>
      </c>
      <c r="F234" s="6">
        <v>17772.919999999998</v>
      </c>
      <c r="G234" s="6">
        <v>12333.34</v>
      </c>
      <c r="H234" s="6">
        <f>SUM(Table134[[#This Row],[NOVEMBER PAYMENT]:[MAY PAYMENT 
(BUDGET REDUCTION)]])</f>
        <v>47879.179999999993</v>
      </c>
    </row>
    <row r="235" spans="1:8" x14ac:dyDescent="0.25">
      <c r="A235" t="str">
        <f>"055251"</f>
        <v>055251</v>
      </c>
      <c r="B235" t="s">
        <v>230</v>
      </c>
      <c r="C235">
        <v>349</v>
      </c>
      <c r="D235" s="6">
        <v>149176.29</v>
      </c>
      <c r="E235" s="6">
        <v>49228.18</v>
      </c>
      <c r="F235" s="6">
        <v>49228.170000000006</v>
      </c>
      <c r="G235" s="6">
        <v>34161.370000000003</v>
      </c>
      <c r="H235" s="6">
        <f>SUM(Table134[[#This Row],[NOVEMBER PAYMENT]:[MAY PAYMENT 
(BUDGET REDUCTION)]])</f>
        <v>132617.72</v>
      </c>
    </row>
    <row r="236" spans="1:8" x14ac:dyDescent="0.25">
      <c r="A236" t="str">
        <f>"055293"</f>
        <v>055293</v>
      </c>
      <c r="B236" t="s">
        <v>231</v>
      </c>
      <c r="C236">
        <v>271</v>
      </c>
      <c r="D236" s="6">
        <v>115836.03</v>
      </c>
      <c r="E236" s="6">
        <v>38225.89</v>
      </c>
      <c r="F236" s="6">
        <v>38225.89</v>
      </c>
      <c r="G236" s="6">
        <v>26526.45</v>
      </c>
      <c r="H236" s="6">
        <f>SUM(Table134[[#This Row],[NOVEMBER PAYMENT]:[MAY PAYMENT 
(BUDGET REDUCTION)]])</f>
        <v>102978.23</v>
      </c>
    </row>
    <row r="237" spans="1:8" x14ac:dyDescent="0.25">
      <c r="A237" t="str">
        <f>"055319"</f>
        <v>055319</v>
      </c>
      <c r="B237" t="s">
        <v>232</v>
      </c>
      <c r="C237">
        <v>461</v>
      </c>
      <c r="D237" s="6">
        <v>197049.48</v>
      </c>
      <c r="E237" s="6">
        <v>65026.33</v>
      </c>
      <c r="F237" s="6">
        <v>65026.33</v>
      </c>
      <c r="G237" s="6">
        <v>45124.33</v>
      </c>
      <c r="H237" s="6">
        <f>SUM(Table134[[#This Row],[NOVEMBER PAYMENT]:[MAY PAYMENT 
(BUDGET REDUCTION)]])</f>
        <v>175176.99</v>
      </c>
    </row>
    <row r="238" spans="1:8" x14ac:dyDescent="0.25">
      <c r="A238" t="str">
        <f>"055335"</f>
        <v>055335</v>
      </c>
      <c r="B238" t="s">
        <v>232</v>
      </c>
      <c r="C238">
        <v>73</v>
      </c>
      <c r="D238" s="6">
        <v>31203.06</v>
      </c>
      <c r="E238" s="6">
        <v>10297.01</v>
      </c>
      <c r="F238" s="6">
        <v>10297.01</v>
      </c>
      <c r="G238" s="6">
        <v>7145.5</v>
      </c>
      <c r="H238" s="6">
        <f>SUM(Table134[[#This Row],[NOVEMBER PAYMENT]:[MAY PAYMENT 
(BUDGET REDUCTION)]])</f>
        <v>27739.52</v>
      </c>
    </row>
    <row r="239" spans="1:8" x14ac:dyDescent="0.25">
      <c r="A239" t="str">
        <f>"055368"</f>
        <v>055368</v>
      </c>
      <c r="B239" t="s">
        <v>233</v>
      </c>
      <c r="C239">
        <v>122</v>
      </c>
      <c r="D239" s="6">
        <v>52147.58</v>
      </c>
      <c r="E239" s="6">
        <v>17208.7</v>
      </c>
      <c r="F239" s="6">
        <v>17208.7</v>
      </c>
      <c r="G239" s="6">
        <v>11941.8</v>
      </c>
      <c r="H239" s="6">
        <f>SUM(Table134[[#This Row],[NOVEMBER PAYMENT]:[MAY PAYMENT 
(BUDGET REDUCTION)]])</f>
        <v>46359.199999999997</v>
      </c>
    </row>
    <row r="240" spans="1:8" x14ac:dyDescent="0.25">
      <c r="A240" t="str">
        <f>"055400"</f>
        <v>055400</v>
      </c>
      <c r="B240" t="s">
        <v>234</v>
      </c>
      <c r="C240">
        <v>82</v>
      </c>
      <c r="D240" s="6">
        <v>35050.019999999997</v>
      </c>
      <c r="E240" s="6">
        <v>11566.51</v>
      </c>
      <c r="F240" s="6">
        <v>11566.499999999998</v>
      </c>
      <c r="G240" s="6">
        <v>8026.46</v>
      </c>
      <c r="H240" s="6">
        <f>SUM(Table134[[#This Row],[NOVEMBER PAYMENT]:[MAY PAYMENT 
(BUDGET REDUCTION)]])</f>
        <v>31159.469999999998</v>
      </c>
    </row>
    <row r="241" spans="1:8" x14ac:dyDescent="0.25">
      <c r="A241" t="str">
        <f>"055418"</f>
        <v>055418</v>
      </c>
      <c r="B241" t="s">
        <v>235</v>
      </c>
      <c r="C241">
        <v>408</v>
      </c>
      <c r="D241" s="6">
        <v>174395.2</v>
      </c>
      <c r="E241" s="6">
        <v>57550.42</v>
      </c>
      <c r="F241" s="6">
        <v>57550.41</v>
      </c>
      <c r="G241" s="6">
        <v>39936.5</v>
      </c>
      <c r="H241" s="6">
        <f>SUM(Table134[[#This Row],[NOVEMBER PAYMENT]:[MAY PAYMENT 
(BUDGET REDUCTION)]])</f>
        <v>155037.33000000002</v>
      </c>
    </row>
    <row r="242" spans="1:8" x14ac:dyDescent="0.25">
      <c r="A242" t="str">
        <f>"055434"</f>
        <v>055434</v>
      </c>
      <c r="B242" t="s">
        <v>236</v>
      </c>
      <c r="C242">
        <v>148</v>
      </c>
      <c r="D242" s="6">
        <v>63261</v>
      </c>
      <c r="E242" s="6">
        <v>20876.13</v>
      </c>
      <c r="F242" s="6">
        <v>20876.13</v>
      </c>
      <c r="G242" s="6">
        <v>14486.77</v>
      </c>
      <c r="H242" s="6">
        <f>SUM(Table134[[#This Row],[NOVEMBER PAYMENT]:[MAY PAYMENT 
(BUDGET REDUCTION)]])</f>
        <v>56239.03</v>
      </c>
    </row>
    <row r="243" spans="1:8" x14ac:dyDescent="0.25">
      <c r="A243" t="str">
        <f>"055442"</f>
        <v>055442</v>
      </c>
      <c r="B243" t="s">
        <v>237</v>
      </c>
      <c r="C243">
        <v>456</v>
      </c>
      <c r="D243" s="6">
        <v>194912.28</v>
      </c>
      <c r="E243" s="6">
        <v>64321.05</v>
      </c>
      <c r="F243" s="6">
        <v>64321.05</v>
      </c>
      <c r="G243" s="6">
        <v>44634.92</v>
      </c>
      <c r="H243" s="6">
        <f>SUM(Table134[[#This Row],[NOVEMBER PAYMENT]:[MAY PAYMENT 
(BUDGET REDUCTION)]])</f>
        <v>173277.02000000002</v>
      </c>
    </row>
    <row r="244" spans="1:8" x14ac:dyDescent="0.25">
      <c r="A244" t="str">
        <f>"055475"</f>
        <v>055475</v>
      </c>
      <c r="B244" t="s">
        <v>238</v>
      </c>
      <c r="C244">
        <v>177</v>
      </c>
      <c r="D244" s="6">
        <v>75656.740000000005</v>
      </c>
      <c r="E244" s="6">
        <v>24966.720000000001</v>
      </c>
      <c r="F244" s="6">
        <v>24966.729999999996</v>
      </c>
      <c r="G244" s="6">
        <v>17325.39</v>
      </c>
      <c r="H244" s="6">
        <f>SUM(Table134[[#This Row],[NOVEMBER PAYMENT]:[MAY PAYMENT 
(BUDGET REDUCTION)]])</f>
        <v>67258.84</v>
      </c>
    </row>
    <row r="245" spans="1:8" x14ac:dyDescent="0.25">
      <c r="A245" t="str">
        <f>"055566"</f>
        <v>055566</v>
      </c>
      <c r="B245" t="s">
        <v>239</v>
      </c>
      <c r="C245">
        <v>692</v>
      </c>
      <c r="D245" s="6">
        <v>282940.05</v>
      </c>
      <c r="E245" s="6">
        <v>93370.22</v>
      </c>
      <c r="F245" s="6">
        <v>93370.209999999992</v>
      </c>
      <c r="G245" s="6">
        <v>64793.27</v>
      </c>
      <c r="H245" s="6">
        <f>SUM(Table134[[#This Row],[NOVEMBER PAYMENT]:[MAY PAYMENT 
(BUDGET REDUCTION)]])</f>
        <v>251533.69999999998</v>
      </c>
    </row>
    <row r="246" spans="1:8" x14ac:dyDescent="0.25">
      <c r="A246" t="str">
        <f>"055582"</f>
        <v>055582</v>
      </c>
      <c r="B246" t="s">
        <v>240</v>
      </c>
      <c r="C246">
        <v>222</v>
      </c>
      <c r="D246" s="6">
        <v>94891.51</v>
      </c>
      <c r="E246" s="6">
        <v>31314.2</v>
      </c>
      <c r="F246" s="6">
        <v>31314.2</v>
      </c>
      <c r="G246" s="6">
        <v>21730.15</v>
      </c>
      <c r="H246" s="6">
        <f>SUM(Table134[[#This Row],[NOVEMBER PAYMENT]:[MAY PAYMENT 
(BUDGET REDUCTION)]])</f>
        <v>84358.55</v>
      </c>
    </row>
    <row r="247" spans="1:8" x14ac:dyDescent="0.25">
      <c r="A247" t="str">
        <f>"055590"</f>
        <v>055590</v>
      </c>
      <c r="B247" t="s">
        <v>241</v>
      </c>
      <c r="C247">
        <v>219</v>
      </c>
      <c r="D247" s="6">
        <v>93609.19</v>
      </c>
      <c r="E247" s="6">
        <v>30891.03</v>
      </c>
      <c r="F247" s="6">
        <v>30891.040000000001</v>
      </c>
      <c r="G247" s="6">
        <v>21436.5</v>
      </c>
      <c r="H247" s="6">
        <f>SUM(Table134[[#This Row],[NOVEMBER PAYMENT]:[MAY PAYMENT 
(BUDGET REDUCTION)]])</f>
        <v>83218.570000000007</v>
      </c>
    </row>
    <row r="248" spans="1:8" x14ac:dyDescent="0.25">
      <c r="A248" t="str">
        <f>"055608"</f>
        <v>055608</v>
      </c>
      <c r="B248" t="s">
        <v>242</v>
      </c>
      <c r="C248">
        <v>322</v>
      </c>
      <c r="D248" s="6">
        <v>137635.43</v>
      </c>
      <c r="E248" s="6">
        <v>45419.69</v>
      </c>
      <c r="F248" s="6">
        <v>45419.69</v>
      </c>
      <c r="G248" s="6">
        <v>31518.52</v>
      </c>
      <c r="H248" s="6">
        <f>SUM(Table134[[#This Row],[NOVEMBER PAYMENT]:[MAY PAYMENT 
(BUDGET REDUCTION)]])</f>
        <v>122357.90000000001</v>
      </c>
    </row>
    <row r="249" spans="1:8" x14ac:dyDescent="0.25">
      <c r="A249" t="str">
        <f>"055632"</f>
        <v>055632</v>
      </c>
      <c r="B249" t="s">
        <v>243</v>
      </c>
      <c r="C249">
        <v>142</v>
      </c>
      <c r="D249" s="6">
        <v>60696.37</v>
      </c>
      <c r="E249" s="6">
        <v>20029.8</v>
      </c>
      <c r="F249" s="6">
        <v>20029.8</v>
      </c>
      <c r="G249" s="6">
        <v>13899.47</v>
      </c>
      <c r="H249" s="6">
        <f>SUM(Table134[[#This Row],[NOVEMBER PAYMENT]:[MAY PAYMENT 
(BUDGET REDUCTION)]])</f>
        <v>53959.07</v>
      </c>
    </row>
    <row r="250" spans="1:8" x14ac:dyDescent="0.25">
      <c r="A250" t="str">
        <f>"055640"</f>
        <v>055640</v>
      </c>
      <c r="B250" t="s">
        <v>244</v>
      </c>
      <c r="C250">
        <v>226</v>
      </c>
      <c r="D250" s="6">
        <v>96601.26</v>
      </c>
      <c r="E250" s="6">
        <v>31878.42</v>
      </c>
      <c r="F250" s="6">
        <v>31878.410000000003</v>
      </c>
      <c r="G250" s="6">
        <v>22121.69</v>
      </c>
      <c r="H250" s="6">
        <f>SUM(Table134[[#This Row],[NOVEMBER PAYMENT]:[MAY PAYMENT 
(BUDGET REDUCTION)]])</f>
        <v>85878.52</v>
      </c>
    </row>
    <row r="251" spans="1:8" x14ac:dyDescent="0.25">
      <c r="A251" t="str">
        <f>"055657"</f>
        <v>055657</v>
      </c>
      <c r="B251" t="s">
        <v>245</v>
      </c>
      <c r="C251">
        <v>238</v>
      </c>
      <c r="D251" s="6">
        <v>101730.53</v>
      </c>
      <c r="E251" s="6">
        <v>33571.07</v>
      </c>
      <c r="F251" s="6">
        <v>33571.079999999994</v>
      </c>
      <c r="G251" s="6">
        <v>23296.29</v>
      </c>
      <c r="H251" s="6">
        <f>SUM(Table134[[#This Row],[NOVEMBER PAYMENT]:[MAY PAYMENT 
(BUDGET REDUCTION)]])</f>
        <v>90438.44</v>
      </c>
    </row>
    <row r="252" spans="1:8" x14ac:dyDescent="0.25">
      <c r="A252" t="str">
        <f>"055749"</f>
        <v>055749</v>
      </c>
      <c r="B252" t="s">
        <v>246</v>
      </c>
      <c r="C252">
        <v>176</v>
      </c>
      <c r="D252" s="6">
        <v>75229.3</v>
      </c>
      <c r="E252" s="6">
        <v>24825.67</v>
      </c>
      <c r="F252" s="6">
        <v>24825.67</v>
      </c>
      <c r="G252" s="6">
        <v>17227.509999999998</v>
      </c>
      <c r="H252" s="6">
        <f>SUM(Table134[[#This Row],[NOVEMBER PAYMENT]:[MAY PAYMENT 
(BUDGET REDUCTION)]])</f>
        <v>66878.849999999991</v>
      </c>
    </row>
    <row r="253" spans="1:8" x14ac:dyDescent="0.25">
      <c r="A253" t="str">
        <f>"055814"</f>
        <v>055814</v>
      </c>
      <c r="B253" t="s">
        <v>247</v>
      </c>
      <c r="C253">
        <v>400</v>
      </c>
      <c r="D253" s="6">
        <v>170975.69</v>
      </c>
      <c r="E253" s="6">
        <v>56421.98</v>
      </c>
      <c r="F253" s="6">
        <v>56421.98</v>
      </c>
      <c r="G253" s="6">
        <v>39153.43</v>
      </c>
      <c r="H253" s="6">
        <f>SUM(Table134[[#This Row],[NOVEMBER PAYMENT]:[MAY PAYMENT 
(BUDGET REDUCTION)]])</f>
        <v>151997.39000000001</v>
      </c>
    </row>
    <row r="254" spans="1:8" x14ac:dyDescent="0.25">
      <c r="A254" t="str">
        <f>"055822"</f>
        <v>055822</v>
      </c>
      <c r="B254" t="s">
        <v>248</v>
      </c>
      <c r="C254">
        <v>275</v>
      </c>
      <c r="D254" s="6">
        <v>117545.79</v>
      </c>
      <c r="E254" s="6">
        <v>38790.11</v>
      </c>
      <c r="F254" s="6">
        <v>38790.11</v>
      </c>
      <c r="G254" s="6">
        <v>26917.99</v>
      </c>
      <c r="H254" s="6">
        <f>SUM(Table134[[#This Row],[NOVEMBER PAYMENT]:[MAY PAYMENT 
(BUDGET REDUCTION)]])</f>
        <v>104498.21</v>
      </c>
    </row>
    <row r="255" spans="1:8" x14ac:dyDescent="0.25">
      <c r="A255" t="str">
        <f>"055855"</f>
        <v>055855</v>
      </c>
      <c r="B255" t="s">
        <v>249</v>
      </c>
      <c r="C255">
        <v>185</v>
      </c>
      <c r="D255" s="6">
        <v>79076.259999999995</v>
      </c>
      <c r="E255" s="6">
        <v>26095.17</v>
      </c>
      <c r="F255" s="6">
        <v>26095.160000000003</v>
      </c>
      <c r="G255" s="6">
        <v>18108.47</v>
      </c>
      <c r="H255" s="6">
        <f>SUM(Table134[[#This Row],[NOVEMBER PAYMENT]:[MAY PAYMENT 
(BUDGET REDUCTION)]])</f>
        <v>70298.8</v>
      </c>
    </row>
    <row r="256" spans="1:8" x14ac:dyDescent="0.25">
      <c r="A256" t="str">
        <f>"055913"</f>
        <v>055913</v>
      </c>
      <c r="B256" t="s">
        <v>250</v>
      </c>
      <c r="C256">
        <v>401</v>
      </c>
      <c r="D256" s="6">
        <v>171403.13</v>
      </c>
      <c r="E256" s="6">
        <v>56563.03</v>
      </c>
      <c r="F256" s="6">
        <v>56563.040000000008</v>
      </c>
      <c r="G256" s="6">
        <v>39251.31</v>
      </c>
      <c r="H256" s="6">
        <f>SUM(Table134[[#This Row],[NOVEMBER PAYMENT]:[MAY PAYMENT 
(BUDGET REDUCTION)]])</f>
        <v>152377.38</v>
      </c>
    </row>
    <row r="257" spans="1:8" x14ac:dyDescent="0.25">
      <c r="A257" t="str">
        <f>"055947"</f>
        <v>055947</v>
      </c>
      <c r="B257" t="s">
        <v>251</v>
      </c>
      <c r="C257">
        <v>160</v>
      </c>
      <c r="D257" s="6">
        <v>68390.28</v>
      </c>
      <c r="E257" s="6">
        <v>22568.79</v>
      </c>
      <c r="F257" s="6">
        <v>22568.79</v>
      </c>
      <c r="G257" s="6">
        <v>15661.38</v>
      </c>
      <c r="H257" s="6">
        <f>SUM(Table134[[#This Row],[NOVEMBER PAYMENT]:[MAY PAYMENT 
(BUDGET REDUCTION)]])</f>
        <v>60798.96</v>
      </c>
    </row>
    <row r="258" spans="1:8" x14ac:dyDescent="0.25">
      <c r="A258" t="str">
        <f>"056010"</f>
        <v>056010</v>
      </c>
      <c r="B258" t="s">
        <v>252</v>
      </c>
      <c r="C258">
        <v>209</v>
      </c>
      <c r="D258" s="6">
        <v>89334.8</v>
      </c>
      <c r="E258" s="6">
        <v>29480.48</v>
      </c>
      <c r="F258" s="6">
        <v>29480.49</v>
      </c>
      <c r="G258" s="6">
        <v>20457.669999999998</v>
      </c>
      <c r="H258" s="6">
        <f>SUM(Table134[[#This Row],[NOVEMBER PAYMENT]:[MAY PAYMENT 
(BUDGET REDUCTION)]])</f>
        <v>79418.64</v>
      </c>
    </row>
    <row r="259" spans="1:8" x14ac:dyDescent="0.25">
      <c r="A259" t="str">
        <f>"056036"</f>
        <v>056036</v>
      </c>
      <c r="B259" t="s">
        <v>253</v>
      </c>
      <c r="C259">
        <v>162</v>
      </c>
      <c r="D259" s="6">
        <v>69245.149999999994</v>
      </c>
      <c r="E259" s="6">
        <v>22850.9</v>
      </c>
      <c r="F259" s="6">
        <v>22850.9</v>
      </c>
      <c r="G259" s="6">
        <v>15857.14</v>
      </c>
      <c r="H259" s="6">
        <f>SUM(Table134[[#This Row],[NOVEMBER PAYMENT]:[MAY PAYMENT 
(BUDGET REDUCTION)]])</f>
        <v>61558.94</v>
      </c>
    </row>
    <row r="260" spans="1:8" x14ac:dyDescent="0.25">
      <c r="A260" t="str">
        <f>"056051"</f>
        <v>056051</v>
      </c>
      <c r="B260" t="s">
        <v>254</v>
      </c>
      <c r="C260">
        <v>271</v>
      </c>
      <c r="D260" s="6">
        <v>115836.03</v>
      </c>
      <c r="E260" s="6">
        <v>38225.89</v>
      </c>
      <c r="F260" s="6">
        <v>38225.89</v>
      </c>
      <c r="G260" s="6">
        <v>26526.45</v>
      </c>
      <c r="H260" s="6">
        <f>SUM(Table134[[#This Row],[NOVEMBER PAYMENT]:[MAY PAYMENT 
(BUDGET REDUCTION)]])</f>
        <v>102978.23</v>
      </c>
    </row>
    <row r="261" spans="1:8" x14ac:dyDescent="0.25">
      <c r="A261" t="str">
        <f>"056069"</f>
        <v>056069</v>
      </c>
      <c r="B261" t="s">
        <v>255</v>
      </c>
      <c r="C261">
        <v>239</v>
      </c>
      <c r="D261" s="6">
        <v>102157.97</v>
      </c>
      <c r="E261" s="6">
        <v>33712.129999999997</v>
      </c>
      <c r="F261" s="6">
        <v>33712.129999999997</v>
      </c>
      <c r="G261" s="6">
        <v>23394.18</v>
      </c>
      <c r="H261" s="6">
        <f>SUM(Table134[[#This Row],[NOVEMBER PAYMENT]:[MAY PAYMENT 
(BUDGET REDUCTION)]])</f>
        <v>90818.44</v>
      </c>
    </row>
    <row r="262" spans="1:8" x14ac:dyDescent="0.25">
      <c r="A262" t="str">
        <f>"056127"</f>
        <v>056127</v>
      </c>
      <c r="B262" t="s">
        <v>256</v>
      </c>
      <c r="C262">
        <v>255</v>
      </c>
      <c r="D262" s="6">
        <v>104141.94</v>
      </c>
      <c r="E262" s="6">
        <v>34366.839999999997</v>
      </c>
      <c r="F262" s="6">
        <v>34366.839999999997</v>
      </c>
      <c r="G262" s="6">
        <v>23848.5</v>
      </c>
      <c r="H262" s="6">
        <f>SUM(Table134[[#This Row],[NOVEMBER PAYMENT]:[MAY PAYMENT 
(BUDGET REDUCTION)]])</f>
        <v>92582.18</v>
      </c>
    </row>
    <row r="263" spans="1:8" x14ac:dyDescent="0.25">
      <c r="A263" t="str">
        <f>"056143"</f>
        <v>056143</v>
      </c>
      <c r="B263" t="s">
        <v>257</v>
      </c>
      <c r="C263">
        <v>393</v>
      </c>
      <c r="D263" s="6">
        <v>167983.61</v>
      </c>
      <c r="E263" s="6">
        <v>55434.59</v>
      </c>
      <c r="F263" s="6">
        <v>55434.59</v>
      </c>
      <c r="G263" s="6">
        <v>38468.25</v>
      </c>
      <c r="H263" s="6">
        <f>SUM(Table134[[#This Row],[NOVEMBER PAYMENT]:[MAY PAYMENT 
(BUDGET REDUCTION)]])</f>
        <v>149337.43</v>
      </c>
    </row>
    <row r="264" spans="1:8" x14ac:dyDescent="0.25">
      <c r="A264" t="str">
        <f>"056242"</f>
        <v>056242</v>
      </c>
      <c r="B264" t="s">
        <v>258</v>
      </c>
      <c r="C264">
        <v>142</v>
      </c>
      <c r="D264" s="6">
        <v>60095.5</v>
      </c>
      <c r="E264" s="6">
        <v>19831.52</v>
      </c>
      <c r="F264" s="6">
        <v>19831.509999999998</v>
      </c>
      <c r="G264" s="6">
        <v>13761.87</v>
      </c>
      <c r="H264" s="6">
        <f>SUM(Table134[[#This Row],[NOVEMBER PAYMENT]:[MAY PAYMENT 
(BUDGET REDUCTION)]])</f>
        <v>53424.9</v>
      </c>
    </row>
    <row r="265" spans="1:8" x14ac:dyDescent="0.25">
      <c r="A265" t="str">
        <f>"056267"</f>
        <v>056267</v>
      </c>
      <c r="B265" t="s">
        <v>259</v>
      </c>
      <c r="C265">
        <v>186</v>
      </c>
      <c r="D265" s="6">
        <v>79503.69</v>
      </c>
      <c r="E265" s="6">
        <v>26236.22</v>
      </c>
      <c r="F265" s="6">
        <v>26236.22</v>
      </c>
      <c r="G265" s="6">
        <v>18206.34</v>
      </c>
      <c r="H265" s="6">
        <f>SUM(Table134[[#This Row],[NOVEMBER PAYMENT]:[MAY PAYMENT 
(BUDGET REDUCTION)]])</f>
        <v>70678.78</v>
      </c>
    </row>
    <row r="266" spans="1:8" x14ac:dyDescent="0.25">
      <c r="A266" t="str">
        <f>"056275"</f>
        <v>056275</v>
      </c>
      <c r="B266" t="s">
        <v>260</v>
      </c>
      <c r="C266">
        <v>470</v>
      </c>
      <c r="D266" s="6">
        <v>200896.43</v>
      </c>
      <c r="E266" s="6">
        <v>66295.820000000007</v>
      </c>
      <c r="F266" s="6">
        <v>66295.820000000007</v>
      </c>
      <c r="G266" s="6">
        <v>46005.29</v>
      </c>
      <c r="H266" s="6">
        <f>SUM(Table134[[#This Row],[NOVEMBER PAYMENT]:[MAY PAYMENT 
(BUDGET REDUCTION)]])</f>
        <v>178596.93000000002</v>
      </c>
    </row>
    <row r="267" spans="1:8" x14ac:dyDescent="0.25">
      <c r="A267" t="str">
        <f>"056283"</f>
        <v>056283</v>
      </c>
      <c r="B267" t="s">
        <v>155</v>
      </c>
      <c r="C267">
        <v>181</v>
      </c>
      <c r="D267" s="6">
        <v>77366.5</v>
      </c>
      <c r="E267" s="6">
        <v>25530.95</v>
      </c>
      <c r="F267" s="6">
        <v>25530.94</v>
      </c>
      <c r="G267" s="6">
        <v>17716.93</v>
      </c>
      <c r="H267" s="6">
        <f>SUM(Table134[[#This Row],[NOVEMBER PAYMENT]:[MAY PAYMENT 
(BUDGET REDUCTION)]])</f>
        <v>68778.820000000007</v>
      </c>
    </row>
    <row r="268" spans="1:8" x14ac:dyDescent="0.25">
      <c r="A268" t="str">
        <f>"056358"</f>
        <v>056358</v>
      </c>
      <c r="B268" t="s">
        <v>261</v>
      </c>
      <c r="C268">
        <v>169</v>
      </c>
      <c r="D268" s="6">
        <v>72237.23</v>
      </c>
      <c r="E268" s="6">
        <v>23838.29</v>
      </c>
      <c r="F268" s="6">
        <v>23838.28</v>
      </c>
      <c r="G268" s="6">
        <v>16542.330000000002</v>
      </c>
      <c r="H268" s="6">
        <f>SUM(Table134[[#This Row],[NOVEMBER PAYMENT]:[MAY PAYMENT 
(BUDGET REDUCTION)]])</f>
        <v>64218.9</v>
      </c>
    </row>
    <row r="269" spans="1:8" x14ac:dyDescent="0.25">
      <c r="A269" t="str">
        <f>"056366"</f>
        <v>056366</v>
      </c>
      <c r="B269" t="s">
        <v>262</v>
      </c>
      <c r="C269">
        <v>698</v>
      </c>
      <c r="D269" s="6">
        <v>298352.58</v>
      </c>
      <c r="E269" s="6">
        <v>98456.35</v>
      </c>
      <c r="F269" s="6">
        <v>98456.35</v>
      </c>
      <c r="G269" s="6">
        <v>68322.740000000005</v>
      </c>
      <c r="H269" s="6">
        <f>SUM(Table134[[#This Row],[NOVEMBER PAYMENT]:[MAY PAYMENT 
(BUDGET REDUCTION)]])</f>
        <v>265235.44</v>
      </c>
    </row>
    <row r="270" spans="1:8" x14ac:dyDescent="0.25">
      <c r="A270" t="str">
        <f>"056390"</f>
        <v>056390</v>
      </c>
      <c r="B270" t="s">
        <v>263</v>
      </c>
      <c r="C270">
        <v>109</v>
      </c>
      <c r="D270" s="6">
        <v>46590.87</v>
      </c>
      <c r="E270" s="6">
        <v>15374.99</v>
      </c>
      <c r="F270" s="6">
        <v>15374.980000000001</v>
      </c>
      <c r="G270" s="6">
        <v>10669.31</v>
      </c>
      <c r="H270" s="6">
        <f>SUM(Table134[[#This Row],[NOVEMBER PAYMENT]:[MAY PAYMENT 
(BUDGET REDUCTION)]])</f>
        <v>41419.279999999999</v>
      </c>
    </row>
    <row r="271" spans="1:8" x14ac:dyDescent="0.25">
      <c r="A271" t="str">
        <f>"056408"</f>
        <v>056408</v>
      </c>
      <c r="B271" t="s">
        <v>232</v>
      </c>
      <c r="C271">
        <v>220</v>
      </c>
      <c r="D271" s="6">
        <v>94036.63</v>
      </c>
      <c r="E271" s="6">
        <v>31032.09</v>
      </c>
      <c r="F271" s="6">
        <v>31032.09</v>
      </c>
      <c r="G271" s="6">
        <v>21534.38</v>
      </c>
      <c r="H271" s="6">
        <f>SUM(Table134[[#This Row],[NOVEMBER PAYMENT]:[MAY PAYMENT 
(BUDGET REDUCTION)]])</f>
        <v>83598.559999999998</v>
      </c>
    </row>
    <row r="272" spans="1:8" x14ac:dyDescent="0.25">
      <c r="A272" t="str">
        <f>"056416"</f>
        <v>056416</v>
      </c>
      <c r="B272" t="s">
        <v>264</v>
      </c>
      <c r="C272">
        <v>142</v>
      </c>
      <c r="D272" s="6">
        <v>60696.37</v>
      </c>
      <c r="E272" s="6">
        <v>20029.8</v>
      </c>
      <c r="F272" s="6">
        <v>20029.8</v>
      </c>
      <c r="G272" s="6">
        <v>13899.47</v>
      </c>
      <c r="H272" s="6">
        <f>SUM(Table134[[#This Row],[NOVEMBER PAYMENT]:[MAY PAYMENT 
(BUDGET REDUCTION)]])</f>
        <v>53959.07</v>
      </c>
    </row>
    <row r="273" spans="1:8" x14ac:dyDescent="0.25">
      <c r="A273" t="str">
        <f>"056424"</f>
        <v>056424</v>
      </c>
      <c r="B273" t="s">
        <v>241</v>
      </c>
      <c r="C273">
        <v>224</v>
      </c>
      <c r="D273" s="6">
        <v>95746.39</v>
      </c>
      <c r="E273" s="6">
        <v>31596.31</v>
      </c>
      <c r="F273" s="6">
        <v>31596.31</v>
      </c>
      <c r="G273" s="6">
        <v>21925.919999999998</v>
      </c>
      <c r="H273" s="6">
        <f>SUM(Table134[[#This Row],[NOVEMBER PAYMENT]:[MAY PAYMENT 
(BUDGET REDUCTION)]])</f>
        <v>85118.540000000008</v>
      </c>
    </row>
    <row r="274" spans="1:8" x14ac:dyDescent="0.25">
      <c r="A274" t="str">
        <f>"056432"</f>
        <v>056432</v>
      </c>
      <c r="B274" t="s">
        <v>142</v>
      </c>
      <c r="C274">
        <v>167</v>
      </c>
      <c r="D274" s="6">
        <v>71382.350000000006</v>
      </c>
      <c r="E274" s="6">
        <v>23556.18</v>
      </c>
      <c r="F274" s="6">
        <v>23556.17</v>
      </c>
      <c r="G274" s="6">
        <v>16346.56</v>
      </c>
      <c r="H274" s="6">
        <f>SUM(Table134[[#This Row],[NOVEMBER PAYMENT]:[MAY PAYMENT 
(BUDGET REDUCTION)]])</f>
        <v>63458.909999999996</v>
      </c>
    </row>
    <row r="275" spans="1:8" x14ac:dyDescent="0.25">
      <c r="A275" t="str">
        <f>"056440"</f>
        <v>056440</v>
      </c>
      <c r="B275" t="s">
        <v>265</v>
      </c>
      <c r="C275">
        <v>210</v>
      </c>
      <c r="D275" s="6">
        <v>89762.240000000005</v>
      </c>
      <c r="E275" s="6">
        <v>29621.54</v>
      </c>
      <c r="F275" s="6">
        <v>29621.54</v>
      </c>
      <c r="G275" s="6">
        <v>20555.55</v>
      </c>
      <c r="H275" s="6">
        <f>SUM(Table134[[#This Row],[NOVEMBER PAYMENT]:[MAY PAYMENT 
(BUDGET REDUCTION)]])</f>
        <v>79798.63</v>
      </c>
    </row>
    <row r="276" spans="1:8" x14ac:dyDescent="0.25">
      <c r="A276" t="str">
        <f>"056481"</f>
        <v>056481</v>
      </c>
      <c r="B276" t="s">
        <v>266</v>
      </c>
      <c r="C276">
        <v>306</v>
      </c>
      <c r="D276" s="6">
        <v>130796.4</v>
      </c>
      <c r="E276" s="6">
        <v>43162.81</v>
      </c>
      <c r="F276" s="6">
        <v>43162.81</v>
      </c>
      <c r="G276" s="6">
        <v>29952.38</v>
      </c>
      <c r="H276" s="6">
        <f>SUM(Table134[[#This Row],[NOVEMBER PAYMENT]:[MAY PAYMENT 
(BUDGET REDUCTION)]])</f>
        <v>116278</v>
      </c>
    </row>
    <row r="277" spans="1:8" x14ac:dyDescent="0.25">
      <c r="A277" t="str">
        <f>"056531"</f>
        <v>056531</v>
      </c>
      <c r="B277" t="s">
        <v>267</v>
      </c>
      <c r="C277">
        <v>430</v>
      </c>
      <c r="D277" s="6">
        <v>183798.86</v>
      </c>
      <c r="E277" s="6">
        <v>60653.62</v>
      </c>
      <c r="F277" s="6">
        <v>60653.63</v>
      </c>
      <c r="G277" s="6">
        <v>42089.94</v>
      </c>
      <c r="H277" s="6">
        <f>SUM(Table134[[#This Row],[NOVEMBER PAYMENT]:[MAY PAYMENT 
(BUDGET REDUCTION)]])</f>
        <v>163397.19</v>
      </c>
    </row>
    <row r="278" spans="1:8" x14ac:dyDescent="0.25">
      <c r="A278" t="str">
        <f>"056549"</f>
        <v>056549</v>
      </c>
      <c r="B278" t="s">
        <v>268</v>
      </c>
      <c r="C278">
        <v>391</v>
      </c>
      <c r="D278" s="6">
        <v>167128.73000000001</v>
      </c>
      <c r="E278" s="6">
        <v>55152.480000000003</v>
      </c>
      <c r="F278" s="6">
        <v>55152.480000000003</v>
      </c>
      <c r="G278" s="6">
        <v>38272.480000000003</v>
      </c>
      <c r="H278" s="6">
        <f>SUM(Table134[[#This Row],[NOVEMBER PAYMENT]:[MAY PAYMENT 
(BUDGET REDUCTION)]])</f>
        <v>148577.44</v>
      </c>
    </row>
    <row r="279" spans="1:8" x14ac:dyDescent="0.25">
      <c r="A279" t="str">
        <f>"056556"</f>
        <v>056556</v>
      </c>
      <c r="B279" t="s">
        <v>269</v>
      </c>
      <c r="C279">
        <v>359</v>
      </c>
      <c r="D279" s="6">
        <v>153450.68</v>
      </c>
      <c r="E279" s="6">
        <v>50638.720000000001</v>
      </c>
      <c r="F279" s="6">
        <v>50638.729999999996</v>
      </c>
      <c r="G279" s="6">
        <v>35140.199999999997</v>
      </c>
      <c r="H279" s="6">
        <f>SUM(Table134[[#This Row],[NOVEMBER PAYMENT]:[MAY PAYMENT 
(BUDGET REDUCTION)]])</f>
        <v>136417.65</v>
      </c>
    </row>
    <row r="280" spans="1:8" x14ac:dyDescent="0.25">
      <c r="A280" t="str">
        <f>"056580"</f>
        <v>056580</v>
      </c>
      <c r="B280" t="s">
        <v>270</v>
      </c>
      <c r="C280">
        <v>329</v>
      </c>
      <c r="D280" s="6">
        <v>140627.5</v>
      </c>
      <c r="E280" s="6">
        <v>46407.08</v>
      </c>
      <c r="F280" s="6">
        <v>46407.069999999992</v>
      </c>
      <c r="G280" s="6">
        <v>32203.7</v>
      </c>
      <c r="H280" s="6">
        <f>SUM(Table134[[#This Row],[NOVEMBER PAYMENT]:[MAY PAYMENT 
(BUDGET REDUCTION)]])</f>
        <v>125017.84999999999</v>
      </c>
    </row>
    <row r="281" spans="1:8" x14ac:dyDescent="0.25">
      <c r="A281" t="str">
        <f>"056598"</f>
        <v>056598</v>
      </c>
      <c r="B281" t="s">
        <v>271</v>
      </c>
      <c r="C281">
        <v>357</v>
      </c>
      <c r="D281" s="6">
        <v>152595.79999999999</v>
      </c>
      <c r="E281" s="6">
        <v>50356.61</v>
      </c>
      <c r="F281" s="6">
        <v>50356.619999999995</v>
      </c>
      <c r="G281" s="6">
        <v>34944.44</v>
      </c>
      <c r="H281" s="6">
        <f>SUM(Table134[[#This Row],[NOVEMBER PAYMENT]:[MAY PAYMENT 
(BUDGET REDUCTION)]])</f>
        <v>135657.66999999998</v>
      </c>
    </row>
    <row r="282" spans="1:8" x14ac:dyDescent="0.25">
      <c r="A282" t="str">
        <f>"056606"</f>
        <v>056606</v>
      </c>
      <c r="B282" t="s">
        <v>235</v>
      </c>
      <c r="C282">
        <v>268</v>
      </c>
      <c r="D282" s="6">
        <v>114553.71</v>
      </c>
      <c r="E282" s="6">
        <v>37802.720000000001</v>
      </c>
      <c r="F282" s="6">
        <v>37802.729999999996</v>
      </c>
      <c r="G282" s="6">
        <v>26232.799999999999</v>
      </c>
      <c r="H282" s="6">
        <f>SUM(Table134[[#This Row],[NOVEMBER PAYMENT]:[MAY PAYMENT 
(BUDGET REDUCTION)]])</f>
        <v>101838.25</v>
      </c>
    </row>
    <row r="283" spans="1:8" x14ac:dyDescent="0.25">
      <c r="A283" t="str">
        <f>"056648"</f>
        <v>056648</v>
      </c>
      <c r="B283" t="s">
        <v>272</v>
      </c>
      <c r="C283">
        <v>453</v>
      </c>
      <c r="D283" s="6">
        <v>193629.97</v>
      </c>
      <c r="E283" s="6">
        <v>63897.89</v>
      </c>
      <c r="F283" s="6">
        <v>63897.89</v>
      </c>
      <c r="G283" s="6">
        <v>44341.26</v>
      </c>
      <c r="H283" s="6">
        <f>SUM(Table134[[#This Row],[NOVEMBER PAYMENT]:[MAY PAYMENT 
(BUDGET REDUCTION)]])</f>
        <v>172137.04</v>
      </c>
    </row>
    <row r="284" spans="1:8" x14ac:dyDescent="0.25">
      <c r="A284" t="str">
        <f>"056655"</f>
        <v>056655</v>
      </c>
      <c r="B284" t="s">
        <v>273</v>
      </c>
      <c r="C284">
        <v>151</v>
      </c>
      <c r="D284" s="6">
        <v>64543.32</v>
      </c>
      <c r="E284" s="6">
        <v>21299.3</v>
      </c>
      <c r="F284" s="6">
        <v>21299.289999999997</v>
      </c>
      <c r="G284" s="6">
        <v>14780.42</v>
      </c>
      <c r="H284" s="6">
        <f>SUM(Table134[[#This Row],[NOVEMBER PAYMENT]:[MAY PAYMENT 
(BUDGET REDUCTION)]])</f>
        <v>57379.009999999995</v>
      </c>
    </row>
    <row r="285" spans="1:8" x14ac:dyDescent="0.25">
      <c r="A285" t="str">
        <f>"056689"</f>
        <v>056689</v>
      </c>
      <c r="B285" t="s">
        <v>274</v>
      </c>
      <c r="C285">
        <v>108</v>
      </c>
      <c r="D285" s="6">
        <v>46163.44</v>
      </c>
      <c r="E285" s="6">
        <v>15233.94</v>
      </c>
      <c r="F285" s="6">
        <v>15233.929999999998</v>
      </c>
      <c r="G285" s="6">
        <v>10571.43</v>
      </c>
      <c r="H285" s="6">
        <f>SUM(Table134[[#This Row],[NOVEMBER PAYMENT]:[MAY PAYMENT 
(BUDGET REDUCTION)]])</f>
        <v>41039.300000000003</v>
      </c>
    </row>
    <row r="286" spans="1:8" x14ac:dyDescent="0.25">
      <c r="A286" t="str">
        <f>"056697"</f>
        <v>056697</v>
      </c>
      <c r="B286" t="s">
        <v>275</v>
      </c>
      <c r="C286">
        <v>152</v>
      </c>
      <c r="D286" s="6">
        <v>64970.76</v>
      </c>
      <c r="E286" s="6">
        <v>21440.35</v>
      </c>
      <c r="F286" s="6">
        <v>21440.35</v>
      </c>
      <c r="G286" s="6">
        <v>14878.31</v>
      </c>
      <c r="H286" s="6">
        <f>SUM(Table134[[#This Row],[NOVEMBER PAYMENT]:[MAY PAYMENT 
(BUDGET REDUCTION)]])</f>
        <v>57759.009999999995</v>
      </c>
    </row>
    <row r="287" spans="1:8" x14ac:dyDescent="0.25">
      <c r="A287" t="str">
        <f>"056713"</f>
        <v>056713</v>
      </c>
      <c r="B287" t="s">
        <v>195</v>
      </c>
      <c r="C287">
        <v>814</v>
      </c>
      <c r="D287" s="6">
        <v>347935.52</v>
      </c>
      <c r="E287" s="6">
        <v>114818.72</v>
      </c>
      <c r="F287" s="6">
        <v>114818.72</v>
      </c>
      <c r="G287" s="6">
        <v>79677.240000000005</v>
      </c>
      <c r="H287" s="6">
        <f>SUM(Table134[[#This Row],[NOVEMBER PAYMENT]:[MAY PAYMENT 
(BUDGET REDUCTION)]])</f>
        <v>309314.68</v>
      </c>
    </row>
    <row r="288" spans="1:8" x14ac:dyDescent="0.25">
      <c r="A288" t="str">
        <f>"056721"</f>
        <v>056721</v>
      </c>
      <c r="B288" t="s">
        <v>276</v>
      </c>
      <c r="C288">
        <v>193</v>
      </c>
      <c r="D288" s="6">
        <v>82495.77</v>
      </c>
      <c r="E288" s="6">
        <v>27223.599999999999</v>
      </c>
      <c r="F288" s="6">
        <v>27223.61</v>
      </c>
      <c r="G288" s="6">
        <v>18891.53</v>
      </c>
      <c r="H288" s="6">
        <f>SUM(Table134[[#This Row],[NOVEMBER PAYMENT]:[MAY PAYMENT 
(BUDGET REDUCTION)]])</f>
        <v>73338.739999999991</v>
      </c>
    </row>
    <row r="289" spans="1:8" x14ac:dyDescent="0.25">
      <c r="A289" t="str">
        <f>"056739"</f>
        <v>056739</v>
      </c>
      <c r="B289" t="s">
        <v>181</v>
      </c>
      <c r="C289">
        <v>196</v>
      </c>
      <c r="D289" s="6">
        <v>83778.09</v>
      </c>
      <c r="E289" s="6">
        <v>27646.77</v>
      </c>
      <c r="F289" s="6">
        <v>27646.77</v>
      </c>
      <c r="G289" s="6">
        <v>19185.18</v>
      </c>
      <c r="H289" s="6">
        <f>SUM(Table134[[#This Row],[NOVEMBER PAYMENT]:[MAY PAYMENT 
(BUDGET REDUCTION)]])</f>
        <v>74478.720000000001</v>
      </c>
    </row>
    <row r="290" spans="1:8" x14ac:dyDescent="0.25">
      <c r="A290" t="str">
        <f>"056747"</f>
        <v>056747</v>
      </c>
      <c r="B290" t="s">
        <v>277</v>
      </c>
      <c r="C290">
        <v>230</v>
      </c>
      <c r="D290" s="6">
        <v>98311.02</v>
      </c>
      <c r="E290" s="6">
        <v>32442.639999999999</v>
      </c>
      <c r="F290" s="6">
        <v>32442.629999999997</v>
      </c>
      <c r="G290" s="6">
        <v>22513.23</v>
      </c>
      <c r="H290" s="6">
        <f>SUM(Table134[[#This Row],[NOVEMBER PAYMENT]:[MAY PAYMENT 
(BUDGET REDUCTION)]])</f>
        <v>87398.5</v>
      </c>
    </row>
    <row r="291" spans="1:8" x14ac:dyDescent="0.25">
      <c r="A291" t="str">
        <f>"056754"</f>
        <v>056754</v>
      </c>
      <c r="B291" t="s">
        <v>278</v>
      </c>
      <c r="C291">
        <v>197</v>
      </c>
      <c r="D291" s="6">
        <v>84205.53</v>
      </c>
      <c r="E291" s="6">
        <v>27787.82</v>
      </c>
      <c r="F291" s="6">
        <v>27787.83</v>
      </c>
      <c r="G291" s="6">
        <v>19283.07</v>
      </c>
      <c r="H291" s="6">
        <f>SUM(Table134[[#This Row],[NOVEMBER PAYMENT]:[MAY PAYMENT 
(BUDGET REDUCTION)]])</f>
        <v>74858.720000000001</v>
      </c>
    </row>
    <row r="292" spans="1:8" x14ac:dyDescent="0.25">
      <c r="A292" t="str">
        <f>"056762"</f>
        <v>056762</v>
      </c>
      <c r="B292" t="s">
        <v>209</v>
      </c>
      <c r="C292">
        <v>333</v>
      </c>
      <c r="D292" s="6">
        <v>142337.26</v>
      </c>
      <c r="E292" s="6">
        <v>46971.3</v>
      </c>
      <c r="F292" s="6">
        <v>46971.289999999994</v>
      </c>
      <c r="G292" s="6">
        <v>32595.23</v>
      </c>
      <c r="H292" s="6">
        <f>SUM(Table134[[#This Row],[NOVEMBER PAYMENT]:[MAY PAYMENT 
(BUDGET REDUCTION)]])</f>
        <v>126537.81999999999</v>
      </c>
    </row>
    <row r="293" spans="1:8" x14ac:dyDescent="0.25">
      <c r="A293" t="str">
        <f>"056770"</f>
        <v>056770</v>
      </c>
      <c r="B293" t="s">
        <v>279</v>
      </c>
      <c r="C293">
        <v>361</v>
      </c>
      <c r="D293" s="6">
        <v>154305.56</v>
      </c>
      <c r="E293" s="6">
        <v>50920.83</v>
      </c>
      <c r="F293" s="6">
        <v>50920.84</v>
      </c>
      <c r="G293" s="6">
        <v>35335.97</v>
      </c>
      <c r="H293" s="6">
        <f>SUM(Table134[[#This Row],[NOVEMBER PAYMENT]:[MAY PAYMENT 
(BUDGET REDUCTION)]])</f>
        <v>137177.64000000001</v>
      </c>
    </row>
    <row r="294" spans="1:8" x14ac:dyDescent="0.25">
      <c r="A294" t="str">
        <f>"056804"</f>
        <v>056804</v>
      </c>
      <c r="B294" t="s">
        <v>210</v>
      </c>
      <c r="C294">
        <v>291</v>
      </c>
      <c r="D294" s="6">
        <v>124384.81</v>
      </c>
      <c r="E294" s="6">
        <v>41046.99</v>
      </c>
      <c r="F294" s="6">
        <v>41046.980000000003</v>
      </c>
      <c r="G294" s="6">
        <v>28484.13</v>
      </c>
      <c r="H294" s="6">
        <f>SUM(Table134[[#This Row],[NOVEMBER PAYMENT]:[MAY PAYMENT 
(BUDGET REDUCTION)]])</f>
        <v>110578.1</v>
      </c>
    </row>
    <row r="295" spans="1:8" x14ac:dyDescent="0.25">
      <c r="A295" t="str">
        <f>"056812"</f>
        <v>056812</v>
      </c>
      <c r="B295" t="s">
        <v>213</v>
      </c>
      <c r="C295">
        <v>188</v>
      </c>
      <c r="D295" s="6">
        <v>80358.570000000007</v>
      </c>
      <c r="E295" s="6">
        <v>26518.33</v>
      </c>
      <c r="F295" s="6">
        <v>26518.33</v>
      </c>
      <c r="G295" s="6">
        <v>18402.11</v>
      </c>
      <c r="H295" s="6">
        <f>SUM(Table134[[#This Row],[NOVEMBER PAYMENT]:[MAY PAYMENT 
(BUDGET REDUCTION)]])</f>
        <v>71438.77</v>
      </c>
    </row>
    <row r="296" spans="1:8" x14ac:dyDescent="0.25">
      <c r="A296" t="str">
        <f>"056820"</f>
        <v>056820</v>
      </c>
      <c r="B296" t="s">
        <v>280</v>
      </c>
      <c r="C296">
        <v>285</v>
      </c>
      <c r="D296" s="6">
        <v>121820.18</v>
      </c>
      <c r="E296" s="6">
        <v>40200.660000000003</v>
      </c>
      <c r="F296" s="6">
        <v>40200.660000000003</v>
      </c>
      <c r="G296" s="6">
        <v>27896.82</v>
      </c>
      <c r="H296" s="6">
        <f>SUM(Table134[[#This Row],[NOVEMBER PAYMENT]:[MAY PAYMENT 
(BUDGET REDUCTION)]])</f>
        <v>108298.14000000001</v>
      </c>
    </row>
    <row r="297" spans="1:8" x14ac:dyDescent="0.25">
      <c r="A297" t="str">
        <f>"056853"</f>
        <v>056853</v>
      </c>
      <c r="B297" t="s">
        <v>281</v>
      </c>
      <c r="C297">
        <v>614</v>
      </c>
      <c r="D297" s="6">
        <v>262447.68</v>
      </c>
      <c r="E297" s="6">
        <v>86607.73</v>
      </c>
      <c r="F297" s="6">
        <v>86607.74</v>
      </c>
      <c r="G297" s="6">
        <v>60100.52</v>
      </c>
      <c r="H297" s="6">
        <f>SUM(Table134[[#This Row],[NOVEMBER PAYMENT]:[MAY PAYMENT 
(BUDGET REDUCTION)]])</f>
        <v>233315.99</v>
      </c>
    </row>
    <row r="298" spans="1:8" x14ac:dyDescent="0.25">
      <c r="A298" t="str">
        <f>"056861"</f>
        <v>056861</v>
      </c>
      <c r="B298" t="s">
        <v>282</v>
      </c>
      <c r="C298">
        <v>631</v>
      </c>
      <c r="D298" s="6">
        <v>269714.15000000002</v>
      </c>
      <c r="E298" s="6">
        <v>89005.67</v>
      </c>
      <c r="F298" s="6">
        <v>89005.67</v>
      </c>
      <c r="G298" s="6">
        <v>61764.54</v>
      </c>
      <c r="H298" s="6">
        <f>SUM(Table134[[#This Row],[NOVEMBER PAYMENT]:[MAY PAYMENT 
(BUDGET REDUCTION)]])</f>
        <v>239775.88</v>
      </c>
    </row>
    <row r="299" spans="1:8" x14ac:dyDescent="0.25">
      <c r="A299" t="str">
        <f>"056887"</f>
        <v>056887</v>
      </c>
      <c r="B299" t="s">
        <v>203</v>
      </c>
      <c r="C299">
        <v>368</v>
      </c>
      <c r="D299" s="6">
        <v>157297.63</v>
      </c>
      <c r="E299" s="6">
        <v>51908.22</v>
      </c>
      <c r="F299" s="6">
        <v>51908.22</v>
      </c>
      <c r="G299" s="6">
        <v>36021.15</v>
      </c>
      <c r="H299" s="6">
        <f>SUM(Table134[[#This Row],[NOVEMBER PAYMENT]:[MAY PAYMENT 
(BUDGET REDUCTION)]])</f>
        <v>139837.59</v>
      </c>
    </row>
    <row r="300" spans="1:8" x14ac:dyDescent="0.25">
      <c r="A300" t="str">
        <f>"056911"</f>
        <v>056911</v>
      </c>
      <c r="B300" t="s">
        <v>283</v>
      </c>
      <c r="C300">
        <v>124</v>
      </c>
      <c r="D300" s="6">
        <v>53002.46</v>
      </c>
      <c r="E300" s="6">
        <v>17490.810000000001</v>
      </c>
      <c r="F300" s="6">
        <v>17490.810000000001</v>
      </c>
      <c r="G300" s="6">
        <v>12137.57</v>
      </c>
      <c r="H300" s="6">
        <f>SUM(Table134[[#This Row],[NOVEMBER PAYMENT]:[MAY PAYMENT 
(BUDGET REDUCTION)]])</f>
        <v>47119.19</v>
      </c>
    </row>
    <row r="301" spans="1:8" x14ac:dyDescent="0.25">
      <c r="A301" t="str">
        <f>"056937"</f>
        <v>056937</v>
      </c>
      <c r="B301" t="s">
        <v>284</v>
      </c>
      <c r="C301">
        <v>210</v>
      </c>
      <c r="D301" s="6">
        <v>89762.240000000005</v>
      </c>
      <c r="E301" s="6">
        <v>29621.54</v>
      </c>
      <c r="F301" s="6">
        <v>29621.54</v>
      </c>
      <c r="G301" s="6">
        <v>20555.55</v>
      </c>
      <c r="H301" s="6">
        <f>SUM(Table134[[#This Row],[NOVEMBER PAYMENT]:[MAY PAYMENT 
(BUDGET REDUCTION)]])</f>
        <v>79798.63</v>
      </c>
    </row>
    <row r="302" spans="1:8" x14ac:dyDescent="0.25">
      <c r="A302" t="str">
        <f>"056945"</f>
        <v>056945</v>
      </c>
      <c r="B302" t="s">
        <v>285</v>
      </c>
      <c r="C302">
        <v>364</v>
      </c>
      <c r="D302" s="6">
        <v>155587.88</v>
      </c>
      <c r="E302" s="6">
        <v>51344</v>
      </c>
      <c r="F302" s="6">
        <v>51344</v>
      </c>
      <c r="G302" s="6">
        <v>35629.629999999997</v>
      </c>
      <c r="H302" s="6">
        <f>SUM(Table134[[#This Row],[NOVEMBER PAYMENT]:[MAY PAYMENT 
(BUDGET REDUCTION)]])</f>
        <v>138317.63</v>
      </c>
    </row>
    <row r="303" spans="1:8" x14ac:dyDescent="0.25">
      <c r="A303" t="str">
        <f>"056994"</f>
        <v>056994</v>
      </c>
      <c r="B303" t="s">
        <v>277</v>
      </c>
      <c r="C303">
        <v>162</v>
      </c>
      <c r="D303" s="6">
        <v>69245.149999999994</v>
      </c>
      <c r="E303" s="6">
        <v>22850.9</v>
      </c>
      <c r="F303" s="6">
        <v>22850.9</v>
      </c>
      <c r="G303" s="6">
        <v>15857.14</v>
      </c>
      <c r="H303" s="6">
        <f>SUM(Table134[[#This Row],[NOVEMBER PAYMENT]:[MAY PAYMENT 
(BUDGET REDUCTION)]])</f>
        <v>61558.94</v>
      </c>
    </row>
    <row r="304" spans="1:8" x14ac:dyDescent="0.25">
      <c r="A304" t="str">
        <f>"057018"</f>
        <v>057018</v>
      </c>
      <c r="B304" t="s">
        <v>140</v>
      </c>
      <c r="C304">
        <v>297</v>
      </c>
      <c r="D304" s="6">
        <v>126949.45</v>
      </c>
      <c r="E304" s="6">
        <v>41893.32</v>
      </c>
      <c r="F304" s="6">
        <v>41893.32</v>
      </c>
      <c r="G304" s="6">
        <v>29071.42</v>
      </c>
      <c r="H304" s="6">
        <f>SUM(Table134[[#This Row],[NOVEMBER PAYMENT]:[MAY PAYMENT 
(BUDGET REDUCTION)]])</f>
        <v>112858.06</v>
      </c>
    </row>
    <row r="305" spans="1:8" x14ac:dyDescent="0.25">
      <c r="A305" t="str">
        <f>"057034"</f>
        <v>057034</v>
      </c>
      <c r="B305" t="s">
        <v>286</v>
      </c>
      <c r="C305">
        <v>571</v>
      </c>
      <c r="D305" s="6">
        <v>244067.79</v>
      </c>
      <c r="E305" s="6">
        <v>80542.37</v>
      </c>
      <c r="F305" s="6">
        <v>80542.37</v>
      </c>
      <c r="G305" s="6">
        <v>55891.53</v>
      </c>
      <c r="H305" s="6">
        <f>SUM(Table134[[#This Row],[NOVEMBER PAYMENT]:[MAY PAYMENT 
(BUDGET REDUCTION)]])</f>
        <v>216976.27</v>
      </c>
    </row>
    <row r="306" spans="1:8" x14ac:dyDescent="0.25">
      <c r="A306" t="str">
        <f>"057067"</f>
        <v>057067</v>
      </c>
      <c r="B306" t="s">
        <v>287</v>
      </c>
      <c r="C306">
        <v>179</v>
      </c>
      <c r="D306" s="6">
        <v>76511.62</v>
      </c>
      <c r="E306" s="6">
        <v>25248.83</v>
      </c>
      <c r="F306" s="6">
        <v>25248.839999999997</v>
      </c>
      <c r="G306" s="6">
        <v>17521.16</v>
      </c>
      <c r="H306" s="6">
        <f>SUM(Table134[[#This Row],[NOVEMBER PAYMENT]:[MAY PAYMENT 
(BUDGET REDUCTION)]])</f>
        <v>68018.83</v>
      </c>
    </row>
    <row r="307" spans="1:8" x14ac:dyDescent="0.25">
      <c r="A307" t="str">
        <f>"057075"</f>
        <v>057075</v>
      </c>
      <c r="B307" t="s">
        <v>288</v>
      </c>
      <c r="C307">
        <v>141</v>
      </c>
      <c r="D307" s="6">
        <v>60268.93</v>
      </c>
      <c r="E307" s="6">
        <v>19888.75</v>
      </c>
      <c r="F307" s="6">
        <v>19888.739999999998</v>
      </c>
      <c r="G307" s="6">
        <v>13801.59</v>
      </c>
      <c r="H307" s="6">
        <f>SUM(Table134[[#This Row],[NOVEMBER PAYMENT]:[MAY PAYMENT 
(BUDGET REDUCTION)]])</f>
        <v>53579.08</v>
      </c>
    </row>
    <row r="308" spans="1:8" x14ac:dyDescent="0.25">
      <c r="A308" t="str">
        <f>"057109"</f>
        <v>057109</v>
      </c>
      <c r="B308" t="s">
        <v>289</v>
      </c>
      <c r="C308">
        <v>179</v>
      </c>
      <c r="D308" s="6">
        <v>76511.62</v>
      </c>
      <c r="E308" s="6">
        <v>25248.83</v>
      </c>
      <c r="F308" s="6">
        <v>25248.839999999997</v>
      </c>
      <c r="G308" s="6">
        <v>17521.16</v>
      </c>
      <c r="H308" s="6">
        <f>SUM(Table134[[#This Row],[NOVEMBER PAYMENT]:[MAY PAYMENT 
(BUDGET REDUCTION)]])</f>
        <v>68018.83</v>
      </c>
    </row>
    <row r="309" spans="1:8" x14ac:dyDescent="0.25">
      <c r="A309" t="str">
        <f>"057117"</f>
        <v>057117</v>
      </c>
      <c r="B309" t="s">
        <v>225</v>
      </c>
      <c r="C309">
        <v>149</v>
      </c>
      <c r="D309" s="6">
        <v>63688.44</v>
      </c>
      <c r="E309" s="6">
        <v>21017.19</v>
      </c>
      <c r="F309" s="6">
        <v>21017.180000000004</v>
      </c>
      <c r="G309" s="6">
        <v>14584.65</v>
      </c>
      <c r="H309" s="6">
        <f>SUM(Table134[[#This Row],[NOVEMBER PAYMENT]:[MAY PAYMENT 
(BUDGET REDUCTION)]])</f>
        <v>56619.020000000004</v>
      </c>
    </row>
    <row r="310" spans="1:8" x14ac:dyDescent="0.25">
      <c r="A310" t="str">
        <f>"057125"</f>
        <v>057125</v>
      </c>
      <c r="B310" t="s">
        <v>139</v>
      </c>
      <c r="C310">
        <v>126</v>
      </c>
      <c r="D310" s="6">
        <v>53857.34</v>
      </c>
      <c r="E310" s="6">
        <v>17772.919999999998</v>
      </c>
      <c r="F310" s="6">
        <v>17772.919999999998</v>
      </c>
      <c r="G310" s="6">
        <v>12333.34</v>
      </c>
      <c r="H310" s="6">
        <f>SUM(Table134[[#This Row],[NOVEMBER PAYMENT]:[MAY PAYMENT 
(BUDGET REDUCTION)]])</f>
        <v>47879.179999999993</v>
      </c>
    </row>
    <row r="311" spans="1:8" x14ac:dyDescent="0.25">
      <c r="A311" t="str">
        <f>"057133"</f>
        <v>057133</v>
      </c>
      <c r="B311" t="s">
        <v>290</v>
      </c>
      <c r="C311">
        <v>497</v>
      </c>
      <c r="D311" s="6">
        <v>212437.29</v>
      </c>
      <c r="E311" s="6">
        <v>70104.31</v>
      </c>
      <c r="F311" s="6">
        <v>70104.299999999988</v>
      </c>
      <c r="G311" s="6">
        <v>48648.14</v>
      </c>
      <c r="H311" s="6">
        <f>SUM(Table134[[#This Row],[NOVEMBER PAYMENT]:[MAY PAYMENT 
(BUDGET REDUCTION)]])</f>
        <v>188856.75</v>
      </c>
    </row>
    <row r="312" spans="1:8" x14ac:dyDescent="0.25">
      <c r="A312" t="str">
        <f>"057141"</f>
        <v>057141</v>
      </c>
      <c r="B312" t="s">
        <v>291</v>
      </c>
      <c r="C312">
        <v>191</v>
      </c>
      <c r="D312" s="6">
        <v>81640.89</v>
      </c>
      <c r="E312" s="6">
        <v>26941.49</v>
      </c>
      <c r="F312" s="6">
        <v>26941.499999999996</v>
      </c>
      <c r="G312" s="6">
        <v>18695.759999999998</v>
      </c>
      <c r="H312" s="6">
        <f>SUM(Table134[[#This Row],[NOVEMBER PAYMENT]:[MAY PAYMENT 
(BUDGET REDUCTION)]])</f>
        <v>72578.75</v>
      </c>
    </row>
    <row r="313" spans="1:8" x14ac:dyDescent="0.25">
      <c r="A313" t="str">
        <f>"057158"</f>
        <v>057158</v>
      </c>
      <c r="B313" t="s">
        <v>225</v>
      </c>
      <c r="C313">
        <v>255</v>
      </c>
      <c r="D313" s="6">
        <v>108997</v>
      </c>
      <c r="E313" s="6">
        <v>35969.01</v>
      </c>
      <c r="F313" s="6">
        <v>35969.01</v>
      </c>
      <c r="G313" s="6">
        <v>24960.31</v>
      </c>
      <c r="H313" s="6">
        <f>SUM(Table134[[#This Row],[NOVEMBER PAYMENT]:[MAY PAYMENT 
(BUDGET REDUCTION)]])</f>
        <v>96898.33</v>
      </c>
    </row>
    <row r="314" spans="1:8" x14ac:dyDescent="0.25">
      <c r="A314" t="str">
        <f>"057182"</f>
        <v>057182</v>
      </c>
      <c r="B314" t="s">
        <v>292</v>
      </c>
      <c r="C314">
        <v>235</v>
      </c>
      <c r="D314" s="6">
        <v>100448.22</v>
      </c>
      <c r="E314" s="6">
        <v>33147.910000000003</v>
      </c>
      <c r="F314" s="6">
        <v>33147.919999999998</v>
      </c>
      <c r="G314" s="6">
        <v>23002.639999999999</v>
      </c>
      <c r="H314" s="6">
        <f>SUM(Table134[[#This Row],[NOVEMBER PAYMENT]:[MAY PAYMENT 
(BUDGET REDUCTION)]])</f>
        <v>89298.47</v>
      </c>
    </row>
    <row r="315" spans="1:8" x14ac:dyDescent="0.25">
      <c r="A315" t="str">
        <f>"057208"</f>
        <v>057208</v>
      </c>
      <c r="B315" t="s">
        <v>293</v>
      </c>
      <c r="C315">
        <v>478</v>
      </c>
      <c r="D315" s="6">
        <v>204315.95</v>
      </c>
      <c r="E315" s="6">
        <v>67424.259999999995</v>
      </c>
      <c r="F315" s="6">
        <v>67424.27</v>
      </c>
      <c r="G315" s="6">
        <v>46788.35</v>
      </c>
      <c r="H315" s="6">
        <f>SUM(Table134[[#This Row],[NOVEMBER PAYMENT]:[MAY PAYMENT 
(BUDGET REDUCTION)]])</f>
        <v>181636.88</v>
      </c>
    </row>
    <row r="316" spans="1:8" x14ac:dyDescent="0.25">
      <c r="A316" t="str">
        <f>"057216"</f>
        <v>057216</v>
      </c>
      <c r="B316" t="s">
        <v>294</v>
      </c>
      <c r="C316">
        <v>488</v>
      </c>
      <c r="D316" s="6">
        <v>208590.34</v>
      </c>
      <c r="E316" s="6">
        <v>68834.81</v>
      </c>
      <c r="F316" s="6">
        <v>68834.81</v>
      </c>
      <c r="G316" s="6">
        <v>47767.19</v>
      </c>
      <c r="H316" s="6">
        <f>SUM(Table134[[#This Row],[NOVEMBER PAYMENT]:[MAY PAYMENT 
(BUDGET REDUCTION)]])</f>
        <v>185436.81</v>
      </c>
    </row>
    <row r="317" spans="1:8" x14ac:dyDescent="0.25">
      <c r="A317" t="str">
        <f>"057224"</f>
        <v>057224</v>
      </c>
      <c r="B317" t="s">
        <v>232</v>
      </c>
      <c r="C317">
        <v>168</v>
      </c>
      <c r="D317" s="6">
        <v>71809.789999999994</v>
      </c>
      <c r="E317" s="6">
        <v>23697.23</v>
      </c>
      <c r="F317" s="6">
        <v>23697.23</v>
      </c>
      <c r="G317" s="6">
        <v>16444.439999999999</v>
      </c>
      <c r="H317" s="6">
        <f>SUM(Table134[[#This Row],[NOVEMBER PAYMENT]:[MAY PAYMENT 
(BUDGET REDUCTION)]])</f>
        <v>63838.899999999994</v>
      </c>
    </row>
    <row r="318" spans="1:8" x14ac:dyDescent="0.25">
      <c r="A318" t="str">
        <f>"057232"</f>
        <v>057232</v>
      </c>
      <c r="B318" t="s">
        <v>184</v>
      </c>
      <c r="C318">
        <v>269</v>
      </c>
      <c r="D318" s="6">
        <v>114981.15</v>
      </c>
      <c r="E318" s="6">
        <v>37943.78</v>
      </c>
      <c r="F318" s="6">
        <v>37943.78</v>
      </c>
      <c r="G318" s="6">
        <v>26330.68</v>
      </c>
      <c r="H318" s="6">
        <f>SUM(Table134[[#This Row],[NOVEMBER PAYMENT]:[MAY PAYMENT 
(BUDGET REDUCTION)]])</f>
        <v>102218.23999999999</v>
      </c>
    </row>
    <row r="319" spans="1:8" x14ac:dyDescent="0.25">
      <c r="A319" t="str">
        <f>"057240"</f>
        <v>057240</v>
      </c>
      <c r="B319" t="s">
        <v>225</v>
      </c>
      <c r="C319">
        <v>178</v>
      </c>
      <c r="D319" s="6">
        <v>76084.179999999993</v>
      </c>
      <c r="E319" s="6">
        <v>25107.78</v>
      </c>
      <c r="F319" s="6">
        <v>25107.78</v>
      </c>
      <c r="G319" s="6">
        <v>17423.28</v>
      </c>
      <c r="H319" s="6">
        <f>SUM(Table134[[#This Row],[NOVEMBER PAYMENT]:[MAY PAYMENT 
(BUDGET REDUCTION)]])</f>
        <v>67638.84</v>
      </c>
    </row>
    <row r="320" spans="1:8" x14ac:dyDescent="0.25">
      <c r="A320" t="str">
        <f>"057257"</f>
        <v>057257</v>
      </c>
      <c r="B320" t="s">
        <v>295</v>
      </c>
      <c r="C320">
        <v>40</v>
      </c>
      <c r="D320" s="6">
        <v>17097.57</v>
      </c>
      <c r="E320" s="6">
        <v>5642.2</v>
      </c>
      <c r="F320" s="6">
        <v>5642.2</v>
      </c>
      <c r="G320" s="6">
        <v>3915.34</v>
      </c>
      <c r="H320" s="6">
        <f>SUM(Table134[[#This Row],[NOVEMBER PAYMENT]:[MAY PAYMENT 
(BUDGET REDUCTION)]])</f>
        <v>15199.74</v>
      </c>
    </row>
    <row r="321" spans="1:8" x14ac:dyDescent="0.25">
      <c r="A321" t="str">
        <f>"057299"</f>
        <v>057299</v>
      </c>
      <c r="B321" t="s">
        <v>227</v>
      </c>
      <c r="C321">
        <v>435</v>
      </c>
      <c r="D321" s="6">
        <v>185936.06</v>
      </c>
      <c r="E321" s="6">
        <v>61358.9</v>
      </c>
      <c r="F321" s="6">
        <v>61358.9</v>
      </c>
      <c r="G321" s="6">
        <v>42579.360000000001</v>
      </c>
      <c r="H321" s="6">
        <f>SUM(Table134[[#This Row],[NOVEMBER PAYMENT]:[MAY PAYMENT 
(BUDGET REDUCTION)]])</f>
        <v>165297.16</v>
      </c>
    </row>
    <row r="322" spans="1:8" x14ac:dyDescent="0.25">
      <c r="A322" t="str">
        <f>"057307"</f>
        <v>057307</v>
      </c>
      <c r="B322" t="s">
        <v>232</v>
      </c>
      <c r="C322">
        <v>102</v>
      </c>
      <c r="D322" s="6">
        <v>43598.8</v>
      </c>
      <c r="E322" s="6">
        <v>14387.6</v>
      </c>
      <c r="F322" s="6">
        <v>14387.609999999999</v>
      </c>
      <c r="G322" s="6">
        <v>9984.1200000000008</v>
      </c>
      <c r="H322" s="6">
        <f>SUM(Table134[[#This Row],[NOVEMBER PAYMENT]:[MAY PAYMENT 
(BUDGET REDUCTION)]])</f>
        <v>38759.33</v>
      </c>
    </row>
    <row r="323" spans="1:8" x14ac:dyDescent="0.25">
      <c r="A323" t="str">
        <f>"057356"</f>
        <v>057356</v>
      </c>
      <c r="B323" t="s">
        <v>277</v>
      </c>
      <c r="C323">
        <v>220</v>
      </c>
      <c r="D323" s="6">
        <v>94036.63</v>
      </c>
      <c r="E323" s="6">
        <v>31032.09</v>
      </c>
      <c r="F323" s="6">
        <v>31032.09</v>
      </c>
      <c r="G323" s="6">
        <v>21534.38</v>
      </c>
      <c r="H323" s="6">
        <f>SUM(Table134[[#This Row],[NOVEMBER PAYMENT]:[MAY PAYMENT 
(BUDGET REDUCTION)]])</f>
        <v>83598.559999999998</v>
      </c>
    </row>
    <row r="324" spans="1:8" x14ac:dyDescent="0.25">
      <c r="A324" t="str">
        <f>"057406"</f>
        <v>057406</v>
      </c>
      <c r="B324" t="s">
        <v>237</v>
      </c>
      <c r="C324">
        <v>297</v>
      </c>
      <c r="D324" s="6">
        <v>126949.45</v>
      </c>
      <c r="E324" s="6">
        <v>41893.32</v>
      </c>
      <c r="F324" s="6">
        <v>41893.32</v>
      </c>
      <c r="G324" s="6">
        <v>29071.42</v>
      </c>
      <c r="H324" s="6">
        <f>SUM(Table134[[#This Row],[NOVEMBER PAYMENT]:[MAY PAYMENT 
(BUDGET REDUCTION)]])</f>
        <v>112858.06</v>
      </c>
    </row>
    <row r="325" spans="1:8" x14ac:dyDescent="0.25">
      <c r="A325" t="str">
        <f>"057422"</f>
        <v>057422</v>
      </c>
      <c r="B325" t="s">
        <v>216</v>
      </c>
      <c r="C325">
        <v>545</v>
      </c>
      <c r="D325" s="6">
        <v>232954.37</v>
      </c>
      <c r="E325" s="6">
        <v>76874.94</v>
      </c>
      <c r="F325" s="6">
        <v>76874.94</v>
      </c>
      <c r="G325" s="6">
        <v>53346.55</v>
      </c>
      <c r="H325" s="6">
        <f>SUM(Table134[[#This Row],[NOVEMBER PAYMENT]:[MAY PAYMENT 
(BUDGET REDUCTION)]])</f>
        <v>207096.43</v>
      </c>
    </row>
    <row r="326" spans="1:8" x14ac:dyDescent="0.25">
      <c r="A326" t="str">
        <f>"057430"</f>
        <v>057430</v>
      </c>
      <c r="B326" t="s">
        <v>296</v>
      </c>
      <c r="C326">
        <v>329</v>
      </c>
      <c r="D326" s="6">
        <v>140627.5</v>
      </c>
      <c r="E326" s="6">
        <v>46407.08</v>
      </c>
      <c r="F326" s="6">
        <v>46407.069999999992</v>
      </c>
      <c r="G326" s="6">
        <v>32203.7</v>
      </c>
      <c r="H326" s="6">
        <f>SUM(Table134[[#This Row],[NOVEMBER PAYMENT]:[MAY PAYMENT 
(BUDGET REDUCTION)]])</f>
        <v>125017.84999999999</v>
      </c>
    </row>
    <row r="327" spans="1:8" x14ac:dyDescent="0.25">
      <c r="A327" t="str">
        <f>"057448"</f>
        <v>057448</v>
      </c>
      <c r="B327" t="s">
        <v>219</v>
      </c>
      <c r="C327">
        <v>181</v>
      </c>
      <c r="D327" s="6">
        <v>77366.5</v>
      </c>
      <c r="E327" s="6">
        <v>25530.95</v>
      </c>
      <c r="F327" s="6">
        <v>25530.94</v>
      </c>
      <c r="G327" s="6">
        <v>17716.93</v>
      </c>
      <c r="H327" s="6">
        <f>SUM(Table134[[#This Row],[NOVEMBER PAYMENT]:[MAY PAYMENT 
(BUDGET REDUCTION)]])</f>
        <v>68778.820000000007</v>
      </c>
    </row>
    <row r="328" spans="1:8" x14ac:dyDescent="0.25">
      <c r="A328" t="str">
        <f>"057455"</f>
        <v>057455</v>
      </c>
      <c r="B328" t="s">
        <v>297</v>
      </c>
      <c r="C328">
        <v>393</v>
      </c>
      <c r="D328" s="6">
        <v>167983.61</v>
      </c>
      <c r="E328" s="6">
        <v>55434.59</v>
      </c>
      <c r="F328" s="6">
        <v>55434.59</v>
      </c>
      <c r="G328" s="6">
        <v>38468.25</v>
      </c>
      <c r="H328" s="6">
        <f>SUM(Table134[[#This Row],[NOVEMBER PAYMENT]:[MAY PAYMENT 
(BUDGET REDUCTION)]])</f>
        <v>149337.43</v>
      </c>
    </row>
    <row r="329" spans="1:8" x14ac:dyDescent="0.25">
      <c r="A329" t="str">
        <f>"057463"</f>
        <v>057463</v>
      </c>
      <c r="B329" t="s">
        <v>237</v>
      </c>
      <c r="C329">
        <v>188</v>
      </c>
      <c r="D329" s="6">
        <v>80358.570000000007</v>
      </c>
      <c r="E329" s="6">
        <v>26518.33</v>
      </c>
      <c r="F329" s="6">
        <v>26518.33</v>
      </c>
      <c r="G329" s="6">
        <v>18402.11</v>
      </c>
      <c r="H329" s="6">
        <f>SUM(Table134[[#This Row],[NOVEMBER PAYMENT]:[MAY PAYMENT 
(BUDGET REDUCTION)]])</f>
        <v>71438.77</v>
      </c>
    </row>
    <row r="330" spans="1:8" x14ac:dyDescent="0.25">
      <c r="A330" t="str">
        <f>"057513"</f>
        <v>057513</v>
      </c>
      <c r="B330" t="s">
        <v>181</v>
      </c>
      <c r="C330">
        <v>341</v>
      </c>
      <c r="D330" s="6">
        <v>145756.76999999999</v>
      </c>
      <c r="E330" s="6">
        <v>48099.73</v>
      </c>
      <c r="F330" s="6">
        <v>48099.74</v>
      </c>
      <c r="G330" s="6">
        <v>33378.300000000003</v>
      </c>
      <c r="H330" s="6">
        <f>SUM(Table134[[#This Row],[NOVEMBER PAYMENT]:[MAY PAYMENT 
(BUDGET REDUCTION)]])</f>
        <v>129577.77</v>
      </c>
    </row>
    <row r="331" spans="1:8" x14ac:dyDescent="0.25">
      <c r="A331" t="str">
        <f>"057521"</f>
        <v>057521</v>
      </c>
      <c r="B331" t="s">
        <v>298</v>
      </c>
      <c r="C331">
        <v>263</v>
      </c>
      <c r="D331" s="6">
        <v>112416.51</v>
      </c>
      <c r="E331" s="6">
        <v>37097.449999999997</v>
      </c>
      <c r="F331" s="6">
        <v>37097.449999999997</v>
      </c>
      <c r="G331" s="6">
        <v>25743.38</v>
      </c>
      <c r="H331" s="6">
        <f>SUM(Table134[[#This Row],[NOVEMBER PAYMENT]:[MAY PAYMENT 
(BUDGET REDUCTION)]])</f>
        <v>99938.28</v>
      </c>
    </row>
    <row r="332" spans="1:8" x14ac:dyDescent="0.25">
      <c r="A332" t="str">
        <f>"057539"</f>
        <v>057539</v>
      </c>
      <c r="B332" t="s">
        <v>299</v>
      </c>
      <c r="C332">
        <v>367</v>
      </c>
      <c r="D332" s="6">
        <v>156870.19</v>
      </c>
      <c r="E332" s="6">
        <v>51767.16</v>
      </c>
      <c r="F332" s="6">
        <v>51767.17</v>
      </c>
      <c r="G332" s="6">
        <v>35923.269999999997</v>
      </c>
      <c r="H332" s="6">
        <f>SUM(Table134[[#This Row],[NOVEMBER PAYMENT]:[MAY PAYMENT 
(BUDGET REDUCTION)]])</f>
        <v>139457.60000000001</v>
      </c>
    </row>
    <row r="333" spans="1:8" x14ac:dyDescent="0.25">
      <c r="A333" t="str">
        <f>"057562"</f>
        <v>057562</v>
      </c>
      <c r="B333" t="s">
        <v>291</v>
      </c>
      <c r="C333">
        <v>95</v>
      </c>
      <c r="D333" s="6">
        <v>40606.730000000003</v>
      </c>
      <c r="E333" s="6">
        <v>13400.22</v>
      </c>
      <c r="F333" s="6">
        <v>13400.22</v>
      </c>
      <c r="G333" s="6">
        <v>9298.94</v>
      </c>
      <c r="H333" s="6">
        <f>SUM(Table134[[#This Row],[NOVEMBER PAYMENT]:[MAY PAYMENT 
(BUDGET REDUCTION)]])</f>
        <v>36099.379999999997</v>
      </c>
    </row>
    <row r="334" spans="1:8" x14ac:dyDescent="0.25">
      <c r="A334" t="str">
        <f>"057570"</f>
        <v>057570</v>
      </c>
      <c r="B334" t="s">
        <v>300</v>
      </c>
      <c r="C334">
        <v>150</v>
      </c>
      <c r="D334" s="6">
        <v>64115.88</v>
      </c>
      <c r="E334" s="6">
        <v>21158.240000000002</v>
      </c>
      <c r="F334" s="6">
        <v>21158.240000000002</v>
      </c>
      <c r="G334" s="6">
        <v>14682.54</v>
      </c>
      <c r="H334" s="6">
        <f>SUM(Table134[[#This Row],[NOVEMBER PAYMENT]:[MAY PAYMENT 
(BUDGET REDUCTION)]])</f>
        <v>56999.020000000004</v>
      </c>
    </row>
    <row r="335" spans="1:8" x14ac:dyDescent="0.25">
      <c r="A335" t="str">
        <f>"057588"</f>
        <v>057588</v>
      </c>
      <c r="B335" t="s">
        <v>301</v>
      </c>
      <c r="C335">
        <v>325</v>
      </c>
      <c r="D335" s="6">
        <v>138917.75</v>
      </c>
      <c r="E335" s="6">
        <v>45842.86</v>
      </c>
      <c r="F335" s="6">
        <v>45842.86</v>
      </c>
      <c r="G335" s="6">
        <v>31812.16</v>
      </c>
      <c r="H335" s="6">
        <f>SUM(Table134[[#This Row],[NOVEMBER PAYMENT]:[MAY PAYMENT 
(BUDGET REDUCTION)]])</f>
        <v>123497.88</v>
      </c>
    </row>
    <row r="336" spans="1:8" x14ac:dyDescent="0.25">
      <c r="A336" t="str">
        <f>"057646"</f>
        <v>057646</v>
      </c>
      <c r="B336" t="s">
        <v>302</v>
      </c>
      <c r="C336">
        <v>264</v>
      </c>
      <c r="D336" s="6">
        <v>112843.95</v>
      </c>
      <c r="E336" s="6">
        <v>37238.5</v>
      </c>
      <c r="F336" s="6">
        <v>37238.509999999995</v>
      </c>
      <c r="G336" s="6">
        <v>25841.26</v>
      </c>
      <c r="H336" s="6">
        <f>SUM(Table134[[#This Row],[NOVEMBER PAYMENT]:[MAY PAYMENT 
(BUDGET REDUCTION)]])</f>
        <v>100318.26999999999</v>
      </c>
    </row>
    <row r="337" spans="1:8" x14ac:dyDescent="0.25">
      <c r="A337" t="str">
        <f>"057653"</f>
        <v>057653</v>
      </c>
      <c r="B337" t="s">
        <v>290</v>
      </c>
      <c r="C337">
        <v>117</v>
      </c>
      <c r="D337" s="6">
        <v>50010.39</v>
      </c>
      <c r="E337" s="6">
        <v>16503.43</v>
      </c>
      <c r="F337" s="6">
        <v>16503.43</v>
      </c>
      <c r="G337" s="6">
        <v>11452.38</v>
      </c>
      <c r="H337" s="6">
        <f>SUM(Table134[[#This Row],[NOVEMBER PAYMENT]:[MAY PAYMENT 
(BUDGET REDUCTION)]])</f>
        <v>44459.24</v>
      </c>
    </row>
    <row r="338" spans="1:8" x14ac:dyDescent="0.25">
      <c r="A338" t="str">
        <f>"057661"</f>
        <v>057661</v>
      </c>
      <c r="B338" t="s">
        <v>183</v>
      </c>
      <c r="C338">
        <v>370</v>
      </c>
      <c r="D338" s="6">
        <v>158152.51</v>
      </c>
      <c r="E338" s="6">
        <v>52190.33</v>
      </c>
      <c r="F338" s="6">
        <v>52190.33</v>
      </c>
      <c r="G338" s="6">
        <v>36216.92</v>
      </c>
      <c r="H338" s="6">
        <f>SUM(Table134[[#This Row],[NOVEMBER PAYMENT]:[MAY PAYMENT 
(BUDGET REDUCTION)]])</f>
        <v>140597.58000000002</v>
      </c>
    </row>
    <row r="339" spans="1:8" x14ac:dyDescent="0.25">
      <c r="A339" t="str">
        <f>"057679"</f>
        <v>057679</v>
      </c>
      <c r="B339" t="s">
        <v>183</v>
      </c>
      <c r="C339">
        <v>69</v>
      </c>
      <c r="D339" s="6">
        <v>29493.31</v>
      </c>
      <c r="E339" s="6">
        <v>9732.7900000000009</v>
      </c>
      <c r="F339" s="6">
        <v>9732.7900000000009</v>
      </c>
      <c r="G339" s="6">
        <v>6753.97</v>
      </c>
      <c r="H339" s="6">
        <f>SUM(Table134[[#This Row],[NOVEMBER PAYMENT]:[MAY PAYMENT 
(BUDGET REDUCTION)]])</f>
        <v>26219.550000000003</v>
      </c>
    </row>
    <row r="340" spans="1:8" x14ac:dyDescent="0.25">
      <c r="A340" t="str">
        <f>"057687"</f>
        <v>057687</v>
      </c>
      <c r="B340" t="s">
        <v>303</v>
      </c>
      <c r="C340">
        <v>213</v>
      </c>
      <c r="D340" s="6">
        <v>91044.55</v>
      </c>
      <c r="E340" s="6">
        <v>30044.7</v>
      </c>
      <c r="F340" s="6">
        <v>30044.7</v>
      </c>
      <c r="G340" s="6">
        <v>20849.2</v>
      </c>
      <c r="H340" s="6">
        <f>SUM(Table134[[#This Row],[NOVEMBER PAYMENT]:[MAY PAYMENT 
(BUDGET REDUCTION)]])</f>
        <v>80938.600000000006</v>
      </c>
    </row>
    <row r="341" spans="1:8" x14ac:dyDescent="0.25">
      <c r="A341" t="str">
        <f>"057695"</f>
        <v>057695</v>
      </c>
      <c r="B341" t="s">
        <v>304</v>
      </c>
      <c r="C341">
        <v>314</v>
      </c>
      <c r="D341" s="6">
        <v>134215.91</v>
      </c>
      <c r="E341" s="6">
        <v>44291.25</v>
      </c>
      <c r="F341" s="6">
        <v>44291.25</v>
      </c>
      <c r="G341" s="6">
        <v>30735.439999999999</v>
      </c>
      <c r="H341" s="6">
        <f>SUM(Table134[[#This Row],[NOVEMBER PAYMENT]:[MAY PAYMENT 
(BUDGET REDUCTION)]])</f>
        <v>119317.94</v>
      </c>
    </row>
    <row r="342" spans="1:8" x14ac:dyDescent="0.25">
      <c r="A342" t="str">
        <f>"057729"</f>
        <v>057729</v>
      </c>
      <c r="B342" t="s">
        <v>194</v>
      </c>
      <c r="C342">
        <v>51</v>
      </c>
      <c r="D342" s="6">
        <v>21799.4</v>
      </c>
      <c r="E342" s="6">
        <v>7193.8</v>
      </c>
      <c r="F342" s="6">
        <v>7193.8</v>
      </c>
      <c r="G342" s="6">
        <v>4992.07</v>
      </c>
      <c r="H342" s="6">
        <f>SUM(Table134[[#This Row],[NOVEMBER PAYMENT]:[MAY PAYMENT 
(BUDGET REDUCTION)]])</f>
        <v>19379.669999999998</v>
      </c>
    </row>
    <row r="343" spans="1:8" x14ac:dyDescent="0.25">
      <c r="A343" t="str">
        <f>"057745"</f>
        <v>057745</v>
      </c>
      <c r="B343" t="s">
        <v>305</v>
      </c>
      <c r="C343">
        <v>198</v>
      </c>
      <c r="D343" s="6">
        <v>84632.97</v>
      </c>
      <c r="E343" s="6">
        <v>27928.880000000001</v>
      </c>
      <c r="F343" s="6">
        <v>27928.880000000001</v>
      </c>
      <c r="G343" s="6">
        <v>19380.95</v>
      </c>
      <c r="H343" s="6">
        <f>SUM(Table134[[#This Row],[NOVEMBER PAYMENT]:[MAY PAYMENT 
(BUDGET REDUCTION)]])</f>
        <v>75238.710000000006</v>
      </c>
    </row>
    <row r="344" spans="1:8" x14ac:dyDescent="0.25">
      <c r="A344" t="str">
        <f>"057778"</f>
        <v>057778</v>
      </c>
      <c r="B344" t="s">
        <v>306</v>
      </c>
      <c r="C344">
        <v>433</v>
      </c>
      <c r="D344" s="6">
        <v>185081.18</v>
      </c>
      <c r="E344" s="6">
        <v>61076.79</v>
      </c>
      <c r="F344" s="6">
        <v>61076.79</v>
      </c>
      <c r="G344" s="6">
        <v>42383.59</v>
      </c>
      <c r="H344" s="6">
        <f>SUM(Table134[[#This Row],[NOVEMBER PAYMENT]:[MAY PAYMENT 
(BUDGET REDUCTION)]])</f>
        <v>164537.16999999998</v>
      </c>
    </row>
    <row r="345" spans="1:8" x14ac:dyDescent="0.25">
      <c r="A345" t="str">
        <f>"057786"</f>
        <v>057786</v>
      </c>
      <c r="B345" t="s">
        <v>200</v>
      </c>
      <c r="C345">
        <v>167</v>
      </c>
      <c r="D345" s="6">
        <v>71382.350000000006</v>
      </c>
      <c r="E345" s="6">
        <v>23556.18</v>
      </c>
      <c r="F345" s="6">
        <v>23556.17</v>
      </c>
      <c r="G345" s="6">
        <v>16346.56</v>
      </c>
      <c r="H345" s="6">
        <f>SUM(Table134[[#This Row],[NOVEMBER PAYMENT]:[MAY PAYMENT 
(BUDGET REDUCTION)]])</f>
        <v>63458.909999999996</v>
      </c>
    </row>
    <row r="346" spans="1:8" x14ac:dyDescent="0.25">
      <c r="A346" t="str">
        <f>"057810"</f>
        <v>057810</v>
      </c>
      <c r="B346" t="s">
        <v>203</v>
      </c>
      <c r="C346">
        <v>74</v>
      </c>
      <c r="D346" s="6">
        <v>31630.5</v>
      </c>
      <c r="E346" s="6">
        <v>10438.07</v>
      </c>
      <c r="F346" s="6">
        <v>10438.060000000001</v>
      </c>
      <c r="G346" s="6">
        <v>7243.38</v>
      </c>
      <c r="H346" s="6">
        <f>SUM(Table134[[#This Row],[NOVEMBER PAYMENT]:[MAY PAYMENT 
(BUDGET REDUCTION)]])</f>
        <v>28119.510000000002</v>
      </c>
    </row>
    <row r="347" spans="1:8" x14ac:dyDescent="0.25">
      <c r="A347" t="str">
        <f>"057836"</f>
        <v>057836</v>
      </c>
      <c r="B347" t="s">
        <v>275</v>
      </c>
      <c r="C347">
        <v>464</v>
      </c>
      <c r="D347" s="6">
        <v>198331.8</v>
      </c>
      <c r="E347" s="6">
        <v>65449.49</v>
      </c>
      <c r="F347" s="6">
        <v>65449.500000000007</v>
      </c>
      <c r="G347" s="6">
        <v>45417.98</v>
      </c>
      <c r="H347" s="6">
        <f>SUM(Table134[[#This Row],[NOVEMBER PAYMENT]:[MAY PAYMENT 
(BUDGET REDUCTION)]])</f>
        <v>176316.97</v>
      </c>
    </row>
    <row r="348" spans="1:8" x14ac:dyDescent="0.25">
      <c r="A348" t="str">
        <f>"057844"</f>
        <v>057844</v>
      </c>
      <c r="B348" t="s">
        <v>307</v>
      </c>
      <c r="C348">
        <v>247</v>
      </c>
      <c r="D348" s="6">
        <v>105577.49</v>
      </c>
      <c r="E348" s="6">
        <v>34840.57</v>
      </c>
      <c r="F348" s="6">
        <v>34840.57</v>
      </c>
      <c r="G348" s="6">
        <v>24177.25</v>
      </c>
      <c r="H348" s="6">
        <f>SUM(Table134[[#This Row],[NOVEMBER PAYMENT]:[MAY PAYMENT 
(BUDGET REDUCTION)]])</f>
        <v>93858.39</v>
      </c>
    </row>
    <row r="349" spans="1:8" x14ac:dyDescent="0.25">
      <c r="A349" t="str">
        <f>"057851"</f>
        <v>057851</v>
      </c>
      <c r="B349" t="s">
        <v>208</v>
      </c>
      <c r="C349">
        <v>215</v>
      </c>
      <c r="D349" s="6">
        <v>91899.43</v>
      </c>
      <c r="E349" s="6">
        <v>30326.81</v>
      </c>
      <c r="F349" s="6">
        <v>30326.81</v>
      </c>
      <c r="G349" s="6">
        <v>21044.97</v>
      </c>
      <c r="H349" s="6">
        <f>SUM(Table134[[#This Row],[NOVEMBER PAYMENT]:[MAY PAYMENT 
(BUDGET REDUCTION)]])</f>
        <v>81698.59</v>
      </c>
    </row>
    <row r="350" spans="1:8" x14ac:dyDescent="0.25">
      <c r="A350" t="str">
        <f>"057869"</f>
        <v>057869</v>
      </c>
      <c r="B350" t="s">
        <v>124</v>
      </c>
      <c r="C350">
        <v>162</v>
      </c>
      <c r="D350" s="6">
        <v>69245.149999999994</v>
      </c>
      <c r="E350" s="6">
        <v>22850.9</v>
      </c>
      <c r="F350" s="6">
        <v>22850.9</v>
      </c>
      <c r="G350" s="6">
        <v>15857.14</v>
      </c>
      <c r="H350" s="6">
        <f>SUM(Table134[[#This Row],[NOVEMBER PAYMENT]:[MAY PAYMENT 
(BUDGET REDUCTION)]])</f>
        <v>61558.94</v>
      </c>
    </row>
    <row r="351" spans="1:8" x14ac:dyDescent="0.25">
      <c r="A351" t="str">
        <f>"057885"</f>
        <v>057885</v>
      </c>
      <c r="B351" t="s">
        <v>140</v>
      </c>
      <c r="C351">
        <v>261</v>
      </c>
      <c r="D351" s="6">
        <v>111561.64</v>
      </c>
      <c r="E351" s="6">
        <v>36815.339999999997</v>
      </c>
      <c r="F351" s="6">
        <v>36815.339999999997</v>
      </c>
      <c r="G351" s="6">
        <v>25547.62</v>
      </c>
      <c r="H351" s="6">
        <f>SUM(Table134[[#This Row],[NOVEMBER PAYMENT]:[MAY PAYMENT 
(BUDGET REDUCTION)]])</f>
        <v>99178.299999999988</v>
      </c>
    </row>
    <row r="352" spans="1:8" x14ac:dyDescent="0.25">
      <c r="A352" t="str">
        <f>"057901"</f>
        <v>057901</v>
      </c>
      <c r="B352" t="s">
        <v>308</v>
      </c>
      <c r="C352">
        <v>484</v>
      </c>
      <c r="D352" s="6">
        <v>206880.58</v>
      </c>
      <c r="E352" s="6">
        <v>68270.59</v>
      </c>
      <c r="F352" s="6">
        <v>68270.59</v>
      </c>
      <c r="G352" s="6">
        <v>47375.66</v>
      </c>
      <c r="H352" s="6">
        <f>SUM(Table134[[#This Row],[NOVEMBER PAYMENT]:[MAY PAYMENT 
(BUDGET REDUCTION)]])</f>
        <v>183916.84</v>
      </c>
    </row>
    <row r="353" spans="1:8" x14ac:dyDescent="0.25">
      <c r="A353" t="str">
        <f>"057919"</f>
        <v>057919</v>
      </c>
      <c r="B353" t="s">
        <v>309</v>
      </c>
      <c r="C353">
        <v>59</v>
      </c>
      <c r="D353" s="6">
        <v>25218.91</v>
      </c>
      <c r="E353" s="6">
        <v>8322.24</v>
      </c>
      <c r="F353" s="6">
        <v>8322.24</v>
      </c>
      <c r="G353" s="6">
        <v>5775.13</v>
      </c>
      <c r="H353" s="6">
        <f>SUM(Table134[[#This Row],[NOVEMBER PAYMENT]:[MAY PAYMENT 
(BUDGET REDUCTION)]])</f>
        <v>22419.61</v>
      </c>
    </row>
    <row r="354" spans="1:8" x14ac:dyDescent="0.25">
      <c r="A354" t="str">
        <f>"057943"</f>
        <v>057943</v>
      </c>
      <c r="B354" t="s">
        <v>310</v>
      </c>
      <c r="C354">
        <v>140</v>
      </c>
      <c r="D354" s="6">
        <v>59841.49</v>
      </c>
      <c r="E354" s="6">
        <v>19747.689999999999</v>
      </c>
      <c r="F354" s="6">
        <v>19747.689999999999</v>
      </c>
      <c r="G354" s="6">
        <v>13703.7</v>
      </c>
      <c r="H354" s="6">
        <f>SUM(Table134[[#This Row],[NOVEMBER PAYMENT]:[MAY PAYMENT 
(BUDGET REDUCTION)]])</f>
        <v>53199.08</v>
      </c>
    </row>
    <row r="355" spans="1:8" x14ac:dyDescent="0.25">
      <c r="A355" t="str">
        <f>"057950"</f>
        <v>057950</v>
      </c>
      <c r="B355" t="s">
        <v>311</v>
      </c>
      <c r="C355">
        <v>159</v>
      </c>
      <c r="D355" s="6">
        <v>67962.84</v>
      </c>
      <c r="E355" s="6">
        <v>22427.74</v>
      </c>
      <c r="F355" s="6">
        <v>22427.73</v>
      </c>
      <c r="G355" s="6">
        <v>15563.49</v>
      </c>
      <c r="H355" s="6">
        <f>SUM(Table134[[#This Row],[NOVEMBER PAYMENT]:[MAY PAYMENT 
(BUDGET REDUCTION)]])</f>
        <v>60418.96</v>
      </c>
    </row>
    <row r="356" spans="1:8" x14ac:dyDescent="0.25">
      <c r="A356" t="str">
        <f>"057992"</f>
        <v>057992</v>
      </c>
      <c r="B356" t="s">
        <v>312</v>
      </c>
      <c r="C356">
        <v>178</v>
      </c>
      <c r="D356" s="6">
        <v>76084.179999999993</v>
      </c>
      <c r="E356" s="6">
        <v>25107.78</v>
      </c>
      <c r="F356" s="6">
        <v>25107.78</v>
      </c>
      <c r="G356" s="6">
        <v>17423.28</v>
      </c>
      <c r="H356" s="6">
        <f>SUM(Table134[[#This Row],[NOVEMBER PAYMENT]:[MAY PAYMENT 
(BUDGET REDUCTION)]])</f>
        <v>67638.84</v>
      </c>
    </row>
    <row r="357" spans="1:8" x14ac:dyDescent="0.25">
      <c r="A357" t="str">
        <f>"058008"</f>
        <v>058008</v>
      </c>
      <c r="B357" t="s">
        <v>232</v>
      </c>
      <c r="C357">
        <v>284</v>
      </c>
      <c r="D357" s="6">
        <v>121392.74</v>
      </c>
      <c r="E357" s="6">
        <v>40059.599999999999</v>
      </c>
      <c r="F357" s="6">
        <v>40059.610000000008</v>
      </c>
      <c r="G357" s="6">
        <v>27798.94</v>
      </c>
      <c r="H357" s="6">
        <f>SUM(Table134[[#This Row],[NOVEMBER PAYMENT]:[MAY PAYMENT 
(BUDGET REDUCTION)]])</f>
        <v>107918.15000000001</v>
      </c>
    </row>
    <row r="358" spans="1:8" x14ac:dyDescent="0.25">
      <c r="A358" t="str">
        <f>"058016"</f>
        <v>058016</v>
      </c>
      <c r="B358" t="s">
        <v>232</v>
      </c>
      <c r="C358">
        <v>340</v>
      </c>
      <c r="D358" s="6">
        <v>145329.32999999999</v>
      </c>
      <c r="E358" s="6">
        <v>47958.68</v>
      </c>
      <c r="F358" s="6">
        <v>47958.68</v>
      </c>
      <c r="G358" s="6">
        <v>33280.410000000003</v>
      </c>
      <c r="H358" s="6">
        <f>SUM(Table134[[#This Row],[NOVEMBER PAYMENT]:[MAY PAYMENT 
(BUDGET REDUCTION)]])</f>
        <v>129197.77</v>
      </c>
    </row>
    <row r="359" spans="1:8" x14ac:dyDescent="0.25">
      <c r="A359" t="str">
        <f>"058024"</f>
        <v>058024</v>
      </c>
      <c r="B359" t="s">
        <v>232</v>
      </c>
      <c r="C359">
        <v>219</v>
      </c>
      <c r="D359" s="6">
        <v>93609.19</v>
      </c>
      <c r="E359" s="6">
        <v>30891.03</v>
      </c>
      <c r="F359" s="6">
        <v>30891.040000000001</v>
      </c>
      <c r="G359" s="6">
        <v>21436.5</v>
      </c>
      <c r="H359" s="6">
        <f>SUM(Table134[[#This Row],[NOVEMBER PAYMENT]:[MAY PAYMENT 
(BUDGET REDUCTION)]])</f>
        <v>83218.570000000007</v>
      </c>
    </row>
    <row r="360" spans="1:8" x14ac:dyDescent="0.25">
      <c r="A360" t="str">
        <f>"058032"</f>
        <v>058032</v>
      </c>
      <c r="B360" t="s">
        <v>232</v>
      </c>
      <c r="C360">
        <v>106</v>
      </c>
      <c r="D360" s="6">
        <v>45308.56</v>
      </c>
      <c r="E360" s="6">
        <v>14951.82</v>
      </c>
      <c r="F360" s="6">
        <v>14951.830000000002</v>
      </c>
      <c r="G360" s="6">
        <v>10375.66</v>
      </c>
      <c r="H360" s="6">
        <f>SUM(Table134[[#This Row],[NOVEMBER PAYMENT]:[MAY PAYMENT 
(BUDGET REDUCTION)]])</f>
        <v>40279.31</v>
      </c>
    </row>
    <row r="361" spans="1:8" x14ac:dyDescent="0.25">
      <c r="A361" t="str">
        <f>"058040"</f>
        <v>058040</v>
      </c>
      <c r="B361" t="s">
        <v>313</v>
      </c>
      <c r="C361">
        <v>155</v>
      </c>
      <c r="D361" s="6">
        <v>48196.78</v>
      </c>
      <c r="E361" s="6">
        <v>15904.94</v>
      </c>
      <c r="F361" s="6">
        <v>15904.929999999998</v>
      </c>
      <c r="G361" s="6">
        <v>11037.07</v>
      </c>
      <c r="H361" s="6">
        <f>SUM(Table134[[#This Row],[NOVEMBER PAYMENT]:[MAY PAYMENT 
(BUDGET REDUCTION)]])</f>
        <v>42846.94</v>
      </c>
    </row>
    <row r="362" spans="1:8" x14ac:dyDescent="0.25">
      <c r="A362" t="str">
        <f>"058057"</f>
        <v>058057</v>
      </c>
      <c r="B362" t="s">
        <v>314</v>
      </c>
      <c r="C362">
        <v>243</v>
      </c>
      <c r="D362" s="6">
        <v>103867.73</v>
      </c>
      <c r="E362" s="6">
        <v>34276.35</v>
      </c>
      <c r="F362" s="6">
        <v>34276.35</v>
      </c>
      <c r="G362" s="6">
        <v>23785.71</v>
      </c>
      <c r="H362" s="6">
        <f>SUM(Table134[[#This Row],[NOVEMBER PAYMENT]:[MAY PAYMENT 
(BUDGET REDUCTION)]])</f>
        <v>92338.41</v>
      </c>
    </row>
    <row r="363" spans="1:8" x14ac:dyDescent="0.25">
      <c r="A363" t="str">
        <f>"058065"</f>
        <v>058065</v>
      </c>
      <c r="B363" t="s">
        <v>315</v>
      </c>
      <c r="C363">
        <v>571</v>
      </c>
      <c r="D363" s="6">
        <v>244067.79</v>
      </c>
      <c r="E363" s="6">
        <v>80542.37</v>
      </c>
      <c r="F363" s="6">
        <v>80542.37</v>
      </c>
      <c r="G363" s="6">
        <v>55891.53</v>
      </c>
      <c r="H363" s="6">
        <f>SUM(Table134[[#This Row],[NOVEMBER PAYMENT]:[MAY PAYMENT 
(BUDGET REDUCTION)]])</f>
        <v>216976.27</v>
      </c>
    </row>
    <row r="364" spans="1:8" x14ac:dyDescent="0.25">
      <c r="A364" t="str">
        <f>"058073"</f>
        <v>058073</v>
      </c>
      <c r="B364" t="s">
        <v>316</v>
      </c>
      <c r="C364">
        <v>274</v>
      </c>
      <c r="D364" s="6">
        <v>117118.35</v>
      </c>
      <c r="E364" s="6">
        <v>38649.06</v>
      </c>
      <c r="F364" s="6">
        <v>38649.050000000003</v>
      </c>
      <c r="G364" s="6">
        <v>26820.1</v>
      </c>
      <c r="H364" s="6">
        <f>SUM(Table134[[#This Row],[NOVEMBER PAYMENT]:[MAY PAYMENT 
(BUDGET REDUCTION)]])</f>
        <v>104118.20999999999</v>
      </c>
    </row>
    <row r="365" spans="1:8" x14ac:dyDescent="0.25">
      <c r="A365" t="str">
        <f>"058081"</f>
        <v>058081</v>
      </c>
      <c r="B365" t="s">
        <v>235</v>
      </c>
      <c r="C365">
        <v>374</v>
      </c>
      <c r="D365" s="6">
        <v>159862.26999999999</v>
      </c>
      <c r="E365" s="6">
        <v>52754.55</v>
      </c>
      <c r="F365" s="6">
        <v>52754.55</v>
      </c>
      <c r="G365" s="6">
        <v>36608.46</v>
      </c>
      <c r="H365" s="6">
        <f>SUM(Table134[[#This Row],[NOVEMBER PAYMENT]:[MAY PAYMENT 
(BUDGET REDUCTION)]])</f>
        <v>142117.56</v>
      </c>
    </row>
    <row r="366" spans="1:8" x14ac:dyDescent="0.25">
      <c r="A366" t="str">
        <f>"058099"</f>
        <v>058099</v>
      </c>
      <c r="B366" t="s">
        <v>317</v>
      </c>
      <c r="C366">
        <v>235</v>
      </c>
      <c r="D366" s="6">
        <v>100448.22</v>
      </c>
      <c r="E366" s="6">
        <v>33147.910000000003</v>
      </c>
      <c r="F366" s="6">
        <v>33147.919999999998</v>
      </c>
      <c r="G366" s="6">
        <v>23002.639999999999</v>
      </c>
      <c r="H366" s="6">
        <f>SUM(Table134[[#This Row],[NOVEMBER PAYMENT]:[MAY PAYMENT 
(BUDGET REDUCTION)]])</f>
        <v>89298.47</v>
      </c>
    </row>
    <row r="367" spans="1:8" x14ac:dyDescent="0.25">
      <c r="A367" t="str">
        <f>"058107"</f>
        <v>058107</v>
      </c>
      <c r="B367" t="s">
        <v>236</v>
      </c>
      <c r="C367">
        <v>135</v>
      </c>
      <c r="D367" s="6">
        <v>57704.29</v>
      </c>
      <c r="E367" s="6">
        <v>19042.419999999998</v>
      </c>
      <c r="F367" s="6">
        <v>19042.410000000003</v>
      </c>
      <c r="G367" s="6">
        <v>13214.28</v>
      </c>
      <c r="H367" s="6">
        <f>SUM(Table134[[#This Row],[NOVEMBER PAYMENT]:[MAY PAYMENT 
(BUDGET REDUCTION)]])</f>
        <v>51299.11</v>
      </c>
    </row>
    <row r="368" spans="1:8" x14ac:dyDescent="0.25">
      <c r="A368" t="str">
        <f>"058115"</f>
        <v>058115</v>
      </c>
      <c r="B368" t="s">
        <v>318</v>
      </c>
      <c r="C368">
        <v>771</v>
      </c>
      <c r="D368" s="6">
        <v>329555.64</v>
      </c>
      <c r="E368" s="6">
        <v>108753.36</v>
      </c>
      <c r="F368" s="6">
        <v>108753.36</v>
      </c>
      <c r="G368" s="6">
        <v>75468.240000000005</v>
      </c>
      <c r="H368" s="6">
        <f>SUM(Table134[[#This Row],[NOVEMBER PAYMENT]:[MAY PAYMENT 
(BUDGET REDUCTION)]])</f>
        <v>292974.96000000002</v>
      </c>
    </row>
    <row r="369" spans="1:8" x14ac:dyDescent="0.25">
      <c r="A369" t="str">
        <f>"058131"</f>
        <v>058131</v>
      </c>
      <c r="B369" t="s">
        <v>295</v>
      </c>
      <c r="C369">
        <v>102</v>
      </c>
      <c r="D369" s="6">
        <v>43598.8</v>
      </c>
      <c r="E369" s="6">
        <v>14387.6</v>
      </c>
      <c r="F369" s="6">
        <v>14387.609999999999</v>
      </c>
      <c r="G369" s="6">
        <v>9984.1200000000008</v>
      </c>
      <c r="H369" s="6">
        <f>SUM(Table134[[#This Row],[NOVEMBER PAYMENT]:[MAY PAYMENT 
(BUDGET REDUCTION)]])</f>
        <v>38759.33</v>
      </c>
    </row>
    <row r="370" spans="1:8" x14ac:dyDescent="0.25">
      <c r="A370" t="str">
        <f>"058156"</f>
        <v>058156</v>
      </c>
      <c r="B370" t="s">
        <v>319</v>
      </c>
      <c r="C370">
        <v>513</v>
      </c>
      <c r="D370" s="6">
        <v>219276.32</v>
      </c>
      <c r="E370" s="6">
        <v>72361.19</v>
      </c>
      <c r="F370" s="6">
        <v>72361.179999999993</v>
      </c>
      <c r="G370" s="6">
        <v>50214.28</v>
      </c>
      <c r="H370" s="6">
        <f>SUM(Table134[[#This Row],[NOVEMBER PAYMENT]:[MAY PAYMENT 
(BUDGET REDUCTION)]])</f>
        <v>194936.65</v>
      </c>
    </row>
    <row r="371" spans="1:8" x14ac:dyDescent="0.25">
      <c r="A371" t="str">
        <f>"058164"</f>
        <v>058164</v>
      </c>
      <c r="B371" t="s">
        <v>320</v>
      </c>
      <c r="C371">
        <v>79</v>
      </c>
      <c r="D371" s="6">
        <v>33767.699999999997</v>
      </c>
      <c r="E371" s="6">
        <v>11143.34</v>
      </c>
      <c r="F371" s="6">
        <v>11143.34</v>
      </c>
      <c r="G371" s="6">
        <v>7732.81</v>
      </c>
      <c r="H371" s="6">
        <f>SUM(Table134[[#This Row],[NOVEMBER PAYMENT]:[MAY PAYMENT 
(BUDGET REDUCTION)]])</f>
        <v>30019.49</v>
      </c>
    </row>
    <row r="372" spans="1:8" x14ac:dyDescent="0.25">
      <c r="A372" t="str">
        <f>"058206"</f>
        <v>058206</v>
      </c>
      <c r="B372" t="s">
        <v>321</v>
      </c>
      <c r="C372">
        <v>245</v>
      </c>
      <c r="D372" s="6">
        <v>104722.61</v>
      </c>
      <c r="E372" s="6">
        <v>34558.46</v>
      </c>
      <c r="F372" s="6">
        <v>34558.46</v>
      </c>
      <c r="G372" s="6">
        <v>23981.48</v>
      </c>
      <c r="H372" s="6">
        <f>SUM(Table134[[#This Row],[NOVEMBER PAYMENT]:[MAY PAYMENT 
(BUDGET REDUCTION)]])</f>
        <v>93098.4</v>
      </c>
    </row>
    <row r="373" spans="1:8" x14ac:dyDescent="0.25">
      <c r="A373" t="str">
        <f>"058214"</f>
        <v>058214</v>
      </c>
      <c r="B373" t="s">
        <v>289</v>
      </c>
      <c r="C373">
        <v>159</v>
      </c>
      <c r="D373" s="6">
        <v>67962.84</v>
      </c>
      <c r="E373" s="6">
        <v>22427.74</v>
      </c>
      <c r="F373" s="6">
        <v>22427.73</v>
      </c>
      <c r="G373" s="6">
        <v>15563.49</v>
      </c>
      <c r="H373" s="6">
        <f>SUM(Table134[[#This Row],[NOVEMBER PAYMENT]:[MAY PAYMENT 
(BUDGET REDUCTION)]])</f>
        <v>60418.96</v>
      </c>
    </row>
    <row r="374" spans="1:8" x14ac:dyDescent="0.25">
      <c r="A374" t="str">
        <f>"058255"</f>
        <v>058255</v>
      </c>
      <c r="B374" t="s">
        <v>322</v>
      </c>
      <c r="C374">
        <v>88</v>
      </c>
      <c r="D374" s="6">
        <v>37614.65</v>
      </c>
      <c r="E374" s="6">
        <v>12412.83</v>
      </c>
      <c r="F374" s="6">
        <v>12412.839999999998</v>
      </c>
      <c r="G374" s="6">
        <v>8613.75</v>
      </c>
      <c r="H374" s="6">
        <f>SUM(Table134[[#This Row],[NOVEMBER PAYMENT]:[MAY PAYMENT 
(BUDGET REDUCTION)]])</f>
        <v>33439.42</v>
      </c>
    </row>
    <row r="375" spans="1:8" x14ac:dyDescent="0.25">
      <c r="A375" t="str">
        <f>"058305"</f>
        <v>058305</v>
      </c>
      <c r="B375" t="s">
        <v>323</v>
      </c>
      <c r="C375">
        <v>306</v>
      </c>
      <c r="D375" s="6">
        <v>130796.4</v>
      </c>
      <c r="E375" s="6">
        <v>43162.81</v>
      </c>
      <c r="F375" s="6">
        <v>43162.81</v>
      </c>
      <c r="G375" s="6">
        <v>29952.38</v>
      </c>
      <c r="H375" s="6">
        <f>SUM(Table134[[#This Row],[NOVEMBER PAYMENT]:[MAY PAYMENT 
(BUDGET REDUCTION)]])</f>
        <v>116278</v>
      </c>
    </row>
    <row r="376" spans="1:8" x14ac:dyDescent="0.25">
      <c r="A376" t="str">
        <f>"058321"</f>
        <v>058321</v>
      </c>
      <c r="B376" t="s">
        <v>309</v>
      </c>
      <c r="C376">
        <v>63</v>
      </c>
      <c r="D376" s="6">
        <v>26928.67</v>
      </c>
      <c r="E376" s="6">
        <v>8886.4599999999991</v>
      </c>
      <c r="F376" s="6">
        <v>8886.4599999999991</v>
      </c>
      <c r="G376" s="6">
        <v>6166.67</v>
      </c>
      <c r="H376" s="6">
        <f>SUM(Table134[[#This Row],[NOVEMBER PAYMENT]:[MAY PAYMENT 
(BUDGET REDUCTION)]])</f>
        <v>23939.589999999997</v>
      </c>
    </row>
    <row r="377" spans="1:8" x14ac:dyDescent="0.25">
      <c r="A377" t="str">
        <f>"058339"</f>
        <v>058339</v>
      </c>
      <c r="B377" t="s">
        <v>309</v>
      </c>
      <c r="C377">
        <v>86</v>
      </c>
      <c r="D377" s="6">
        <v>36759.769999999997</v>
      </c>
      <c r="E377" s="6">
        <v>12130.72</v>
      </c>
      <c r="F377" s="6">
        <v>12130.730000000001</v>
      </c>
      <c r="G377" s="6">
        <v>8417.99</v>
      </c>
      <c r="H377" s="6">
        <f>SUM(Table134[[#This Row],[NOVEMBER PAYMENT]:[MAY PAYMENT 
(BUDGET REDUCTION)]])</f>
        <v>32679.440000000002</v>
      </c>
    </row>
    <row r="378" spans="1:8" x14ac:dyDescent="0.25">
      <c r="A378" t="str">
        <f>"058370"</f>
        <v>058370</v>
      </c>
      <c r="B378" t="s">
        <v>228</v>
      </c>
      <c r="C378">
        <v>97</v>
      </c>
      <c r="D378" s="6">
        <v>41461.599999999999</v>
      </c>
      <c r="E378" s="6">
        <v>13682.33</v>
      </c>
      <c r="F378" s="6">
        <v>13682.33</v>
      </c>
      <c r="G378" s="6">
        <v>9494.7000000000007</v>
      </c>
      <c r="H378" s="6">
        <f>SUM(Table134[[#This Row],[NOVEMBER PAYMENT]:[MAY PAYMENT 
(BUDGET REDUCTION)]])</f>
        <v>36859.360000000001</v>
      </c>
    </row>
    <row r="379" spans="1:8" x14ac:dyDescent="0.25">
      <c r="A379" t="str">
        <f>"058388"</f>
        <v>058388</v>
      </c>
      <c r="B379" t="s">
        <v>232</v>
      </c>
      <c r="C379">
        <v>127</v>
      </c>
      <c r="D379" s="6">
        <v>54284.78</v>
      </c>
      <c r="E379" s="6">
        <v>17913.98</v>
      </c>
      <c r="F379" s="6">
        <v>17913.969999999998</v>
      </c>
      <c r="G379" s="6">
        <v>12431.22</v>
      </c>
      <c r="H379" s="6">
        <f>SUM(Table134[[#This Row],[NOVEMBER PAYMENT]:[MAY PAYMENT 
(BUDGET REDUCTION)]])</f>
        <v>48259.17</v>
      </c>
    </row>
    <row r="380" spans="1:8" x14ac:dyDescent="0.25">
      <c r="A380" t="str">
        <f>"058396"</f>
        <v>058396</v>
      </c>
      <c r="B380" t="s">
        <v>324</v>
      </c>
      <c r="C380">
        <v>87</v>
      </c>
      <c r="D380" s="6">
        <v>37187.21</v>
      </c>
      <c r="E380" s="6">
        <v>12271.78</v>
      </c>
      <c r="F380" s="6">
        <v>12271.78</v>
      </c>
      <c r="G380" s="6">
        <v>8515.8700000000008</v>
      </c>
      <c r="H380" s="6">
        <f>SUM(Table134[[#This Row],[NOVEMBER PAYMENT]:[MAY PAYMENT 
(BUDGET REDUCTION)]])</f>
        <v>33059.43</v>
      </c>
    </row>
    <row r="381" spans="1:8" x14ac:dyDescent="0.25">
      <c r="A381" t="str">
        <f>"058404"</f>
        <v>058404</v>
      </c>
      <c r="B381" t="s">
        <v>232</v>
      </c>
      <c r="C381">
        <v>131</v>
      </c>
      <c r="D381" s="6">
        <v>55994.54</v>
      </c>
      <c r="E381" s="6">
        <v>18478.2</v>
      </c>
      <c r="F381" s="6">
        <v>18478.2</v>
      </c>
      <c r="G381" s="6">
        <v>12822.75</v>
      </c>
      <c r="H381" s="6">
        <f>SUM(Table134[[#This Row],[NOVEMBER PAYMENT]:[MAY PAYMENT 
(BUDGET REDUCTION)]])</f>
        <v>49779.15</v>
      </c>
    </row>
    <row r="382" spans="1:8" x14ac:dyDescent="0.25">
      <c r="A382" t="str">
        <f>"058479"</f>
        <v>058479</v>
      </c>
      <c r="B382" t="s">
        <v>325</v>
      </c>
      <c r="C382">
        <v>83</v>
      </c>
      <c r="D382" s="6">
        <v>35477.46</v>
      </c>
      <c r="E382" s="6">
        <v>11707.56</v>
      </c>
      <c r="F382" s="6">
        <v>11707.56</v>
      </c>
      <c r="G382" s="6">
        <v>8124.34</v>
      </c>
      <c r="H382" s="6">
        <f>SUM(Table134[[#This Row],[NOVEMBER PAYMENT]:[MAY PAYMENT 
(BUDGET REDUCTION)]])</f>
        <v>31539.46</v>
      </c>
    </row>
    <row r="383" spans="1:8" x14ac:dyDescent="0.25">
      <c r="A383" t="str">
        <f>"058487"</f>
        <v>058487</v>
      </c>
      <c r="B383" t="s">
        <v>300</v>
      </c>
      <c r="C383">
        <v>209</v>
      </c>
      <c r="D383" s="6">
        <v>89334.8</v>
      </c>
      <c r="E383" s="6">
        <v>29480.48</v>
      </c>
      <c r="F383" s="6">
        <v>29480.49</v>
      </c>
      <c r="G383" s="6">
        <v>20457.669999999998</v>
      </c>
      <c r="H383" s="6">
        <f>SUM(Table134[[#This Row],[NOVEMBER PAYMENT]:[MAY PAYMENT 
(BUDGET REDUCTION)]])</f>
        <v>79418.64</v>
      </c>
    </row>
    <row r="384" spans="1:8" x14ac:dyDescent="0.25">
      <c r="A384" t="str">
        <f>"058495"</f>
        <v>058495</v>
      </c>
      <c r="B384" t="s">
        <v>326</v>
      </c>
      <c r="C384">
        <v>361</v>
      </c>
      <c r="D384" s="6">
        <v>154305.56</v>
      </c>
      <c r="E384" s="6">
        <v>50920.83</v>
      </c>
      <c r="F384" s="6">
        <v>50920.84</v>
      </c>
      <c r="G384" s="6">
        <v>35335.97</v>
      </c>
      <c r="H384" s="6">
        <f>SUM(Table134[[#This Row],[NOVEMBER PAYMENT]:[MAY PAYMENT 
(BUDGET REDUCTION)]])</f>
        <v>137177.64000000001</v>
      </c>
    </row>
    <row r="385" spans="1:8" x14ac:dyDescent="0.25">
      <c r="A385" t="str">
        <f>"058503"</f>
        <v>058503</v>
      </c>
      <c r="B385" t="s">
        <v>327</v>
      </c>
      <c r="C385">
        <v>359</v>
      </c>
      <c r="D385" s="6">
        <v>153450.68</v>
      </c>
      <c r="E385" s="6">
        <v>50638.720000000001</v>
      </c>
      <c r="F385" s="6">
        <v>50638.729999999996</v>
      </c>
      <c r="G385" s="6">
        <v>35140.199999999997</v>
      </c>
      <c r="H385" s="6">
        <f>SUM(Table134[[#This Row],[NOVEMBER PAYMENT]:[MAY PAYMENT 
(BUDGET REDUCTION)]])</f>
        <v>136417.65</v>
      </c>
    </row>
    <row r="386" spans="1:8" x14ac:dyDescent="0.25">
      <c r="A386" t="str">
        <f>"058552"</f>
        <v>058552</v>
      </c>
      <c r="B386" t="s">
        <v>183</v>
      </c>
      <c r="C386">
        <v>128</v>
      </c>
      <c r="D386" s="6">
        <v>54712.22</v>
      </c>
      <c r="E386" s="6">
        <v>18055.03</v>
      </c>
      <c r="F386" s="6">
        <v>18055.04</v>
      </c>
      <c r="G386" s="6">
        <v>12529.09</v>
      </c>
      <c r="H386" s="6">
        <f>SUM(Table134[[#This Row],[NOVEMBER PAYMENT]:[MAY PAYMENT 
(BUDGET REDUCTION)]])</f>
        <v>48639.16</v>
      </c>
    </row>
    <row r="387" spans="1:8" x14ac:dyDescent="0.25">
      <c r="A387" t="str">
        <f>"058560"</f>
        <v>058560</v>
      </c>
      <c r="B387" t="s">
        <v>183</v>
      </c>
      <c r="C387">
        <v>76</v>
      </c>
      <c r="D387" s="6">
        <v>32485.38</v>
      </c>
      <c r="E387" s="6">
        <v>10720.18</v>
      </c>
      <c r="F387" s="6">
        <v>10720.169999999998</v>
      </c>
      <c r="G387" s="6">
        <v>7439.15</v>
      </c>
      <c r="H387" s="6">
        <f>SUM(Table134[[#This Row],[NOVEMBER PAYMENT]:[MAY PAYMENT 
(BUDGET REDUCTION)]])</f>
        <v>28879.5</v>
      </c>
    </row>
    <row r="388" spans="1:8" x14ac:dyDescent="0.25">
      <c r="A388" t="str">
        <f>"058602"</f>
        <v>058602</v>
      </c>
      <c r="B388" t="s">
        <v>269</v>
      </c>
      <c r="C388">
        <v>195</v>
      </c>
      <c r="D388" s="6">
        <v>83350.649999999994</v>
      </c>
      <c r="E388" s="6">
        <v>27505.71</v>
      </c>
      <c r="F388" s="6">
        <v>27505.72</v>
      </c>
      <c r="G388" s="6">
        <v>19087.3</v>
      </c>
      <c r="H388" s="6">
        <f>SUM(Table134[[#This Row],[NOVEMBER PAYMENT]:[MAY PAYMENT 
(BUDGET REDUCTION)]])</f>
        <v>74098.73</v>
      </c>
    </row>
    <row r="389" spans="1:8" x14ac:dyDescent="0.25">
      <c r="A389" t="str">
        <f>"058628"</f>
        <v>058628</v>
      </c>
      <c r="B389" t="s">
        <v>232</v>
      </c>
      <c r="C389">
        <v>83</v>
      </c>
      <c r="D389" s="6">
        <v>35477.46</v>
      </c>
      <c r="E389" s="6">
        <v>11707.56</v>
      </c>
      <c r="F389" s="6">
        <v>11707.56</v>
      </c>
      <c r="G389" s="6">
        <v>8124.34</v>
      </c>
      <c r="H389" s="6">
        <f>SUM(Table134[[#This Row],[NOVEMBER PAYMENT]:[MAY PAYMENT 
(BUDGET REDUCTION)]])</f>
        <v>31539.46</v>
      </c>
    </row>
    <row r="390" spans="1:8" x14ac:dyDescent="0.25">
      <c r="A390" t="str">
        <f>"058651"</f>
        <v>058651</v>
      </c>
      <c r="B390" t="s">
        <v>328</v>
      </c>
      <c r="C390">
        <v>166</v>
      </c>
      <c r="D390" s="6">
        <v>70954.91</v>
      </c>
      <c r="E390" s="6">
        <v>23415.119999999999</v>
      </c>
      <c r="F390" s="6">
        <v>23415.119999999999</v>
      </c>
      <c r="G390" s="6">
        <v>16248.67</v>
      </c>
      <c r="H390" s="6">
        <f>SUM(Table134[[#This Row],[NOVEMBER PAYMENT]:[MAY PAYMENT 
(BUDGET REDUCTION)]])</f>
        <v>63078.909999999996</v>
      </c>
    </row>
    <row r="391" spans="1:8" x14ac:dyDescent="0.25">
      <c r="A391" t="str">
        <f>"058677"</f>
        <v>058677</v>
      </c>
      <c r="B391" t="s">
        <v>304</v>
      </c>
      <c r="C391">
        <v>227</v>
      </c>
      <c r="D391" s="6">
        <v>94035.61</v>
      </c>
      <c r="E391" s="6">
        <v>31031.75</v>
      </c>
      <c r="F391" s="6">
        <v>31031.75</v>
      </c>
      <c r="G391" s="6">
        <v>21534.16</v>
      </c>
      <c r="H391" s="6">
        <f>SUM(Table134[[#This Row],[NOVEMBER PAYMENT]:[MAY PAYMENT 
(BUDGET REDUCTION)]])</f>
        <v>83597.66</v>
      </c>
    </row>
    <row r="392" spans="1:8" x14ac:dyDescent="0.25">
      <c r="A392" t="str">
        <f>"058685"</f>
        <v>058685</v>
      </c>
      <c r="B392" t="s">
        <v>329</v>
      </c>
      <c r="C392">
        <v>177</v>
      </c>
      <c r="D392" s="6">
        <v>75656.740000000005</v>
      </c>
      <c r="E392" s="6">
        <v>24966.720000000001</v>
      </c>
      <c r="F392" s="6">
        <v>24966.729999999996</v>
      </c>
      <c r="G392" s="6">
        <v>17325.39</v>
      </c>
      <c r="H392" s="6">
        <f>SUM(Table134[[#This Row],[NOVEMBER PAYMENT]:[MAY PAYMENT 
(BUDGET REDUCTION)]])</f>
        <v>67258.84</v>
      </c>
    </row>
    <row r="393" spans="1:8" x14ac:dyDescent="0.25">
      <c r="A393" t="str">
        <f>"058693"</f>
        <v>058693</v>
      </c>
      <c r="B393" t="s">
        <v>330</v>
      </c>
      <c r="C393">
        <v>310</v>
      </c>
      <c r="D393" s="6">
        <v>132506.16</v>
      </c>
      <c r="E393" s="6">
        <v>43727.03</v>
      </c>
      <c r="F393" s="6">
        <v>43727.040000000008</v>
      </c>
      <c r="G393" s="6">
        <v>30343.91</v>
      </c>
      <c r="H393" s="6">
        <f>SUM(Table134[[#This Row],[NOVEMBER PAYMENT]:[MAY PAYMENT 
(BUDGET REDUCTION)]])</f>
        <v>117797.98000000001</v>
      </c>
    </row>
    <row r="394" spans="1:8" x14ac:dyDescent="0.25">
      <c r="A394" t="str">
        <f>"058727"</f>
        <v>058727</v>
      </c>
      <c r="B394" t="s">
        <v>194</v>
      </c>
      <c r="C394">
        <v>105</v>
      </c>
      <c r="D394" s="6">
        <v>44881.120000000003</v>
      </c>
      <c r="E394" s="6">
        <v>14810.77</v>
      </c>
      <c r="F394" s="6">
        <v>14810.77</v>
      </c>
      <c r="G394" s="6">
        <v>10277.780000000001</v>
      </c>
      <c r="H394" s="6">
        <f>SUM(Table134[[#This Row],[NOVEMBER PAYMENT]:[MAY PAYMENT 
(BUDGET REDUCTION)]])</f>
        <v>39899.32</v>
      </c>
    </row>
    <row r="395" spans="1:8" x14ac:dyDescent="0.25">
      <c r="A395" t="str">
        <f>"058768"</f>
        <v>058768</v>
      </c>
      <c r="B395" t="s">
        <v>331</v>
      </c>
      <c r="C395">
        <v>197</v>
      </c>
      <c r="D395" s="6">
        <v>84205.53</v>
      </c>
      <c r="E395" s="6">
        <v>27787.82</v>
      </c>
      <c r="F395" s="6">
        <v>27787.83</v>
      </c>
      <c r="G395" s="6">
        <v>19283.07</v>
      </c>
      <c r="H395" s="6">
        <f>SUM(Table134[[#This Row],[NOVEMBER PAYMENT]:[MAY PAYMENT 
(BUDGET REDUCTION)]])</f>
        <v>74858.720000000001</v>
      </c>
    </row>
    <row r="396" spans="1:8" x14ac:dyDescent="0.25">
      <c r="A396" t="str">
        <f>"058826"</f>
        <v>058826</v>
      </c>
      <c r="B396" t="s">
        <v>277</v>
      </c>
      <c r="C396">
        <v>86</v>
      </c>
      <c r="D396" s="6">
        <v>36759.769999999997</v>
      </c>
      <c r="E396" s="6">
        <v>12130.72</v>
      </c>
      <c r="F396" s="6">
        <v>12130.730000000001</v>
      </c>
      <c r="G396" s="6">
        <v>8417.99</v>
      </c>
      <c r="H396" s="6">
        <f>SUM(Table134[[#This Row],[NOVEMBER PAYMENT]:[MAY PAYMENT 
(BUDGET REDUCTION)]])</f>
        <v>32679.440000000002</v>
      </c>
    </row>
    <row r="397" spans="1:8" x14ac:dyDescent="0.25">
      <c r="A397" t="str">
        <f>"058834"</f>
        <v>058834</v>
      </c>
      <c r="B397" t="s">
        <v>292</v>
      </c>
      <c r="C397">
        <v>47</v>
      </c>
      <c r="D397" s="6">
        <v>20089.64</v>
      </c>
      <c r="E397" s="6">
        <v>6629.58</v>
      </c>
      <c r="F397" s="6">
        <v>6629.58</v>
      </c>
      <c r="G397" s="6">
        <v>4600.53</v>
      </c>
      <c r="H397" s="6">
        <f>SUM(Table134[[#This Row],[NOVEMBER PAYMENT]:[MAY PAYMENT 
(BUDGET REDUCTION)]])</f>
        <v>17859.689999999999</v>
      </c>
    </row>
    <row r="398" spans="1:8" x14ac:dyDescent="0.25">
      <c r="A398" t="str">
        <f>"058842"</f>
        <v>058842</v>
      </c>
      <c r="B398" t="s">
        <v>332</v>
      </c>
      <c r="C398">
        <v>36</v>
      </c>
      <c r="D398" s="6">
        <v>15387.81</v>
      </c>
      <c r="E398" s="6">
        <v>5077.9799999999996</v>
      </c>
      <c r="F398" s="6">
        <v>5077.9700000000012</v>
      </c>
      <c r="G398" s="6">
        <v>3523.81</v>
      </c>
      <c r="H398" s="6">
        <f>SUM(Table134[[#This Row],[NOVEMBER PAYMENT]:[MAY PAYMENT 
(BUDGET REDUCTION)]])</f>
        <v>13679.76</v>
      </c>
    </row>
    <row r="399" spans="1:8" x14ac:dyDescent="0.25">
      <c r="A399" t="str">
        <f>"058859"</f>
        <v>058859</v>
      </c>
      <c r="B399" t="s">
        <v>205</v>
      </c>
      <c r="C399">
        <v>45</v>
      </c>
      <c r="D399" s="6">
        <v>19234.759999999998</v>
      </c>
      <c r="E399" s="6">
        <v>6347.47</v>
      </c>
      <c r="F399" s="6">
        <v>6347.47</v>
      </c>
      <c r="G399" s="6">
        <v>4404.76</v>
      </c>
      <c r="H399" s="6">
        <f>SUM(Table134[[#This Row],[NOVEMBER PAYMENT]:[MAY PAYMENT 
(BUDGET REDUCTION)]])</f>
        <v>17099.7</v>
      </c>
    </row>
    <row r="400" spans="1:8" x14ac:dyDescent="0.25">
      <c r="A400" t="str">
        <f>"058875"</f>
        <v>058875</v>
      </c>
      <c r="B400" t="s">
        <v>333</v>
      </c>
      <c r="C400">
        <v>379</v>
      </c>
      <c r="D400" s="6">
        <v>161999.46</v>
      </c>
      <c r="E400" s="6">
        <v>53459.82</v>
      </c>
      <c r="F400" s="6">
        <v>53459.82</v>
      </c>
      <c r="G400" s="6">
        <v>37097.879999999997</v>
      </c>
      <c r="H400" s="6">
        <f>SUM(Table134[[#This Row],[NOVEMBER PAYMENT]:[MAY PAYMENT 
(BUDGET REDUCTION)]])</f>
        <v>144017.51999999999</v>
      </c>
    </row>
    <row r="401" spans="1:8" x14ac:dyDescent="0.25">
      <c r="A401" t="str">
        <f>"058909"</f>
        <v>058909</v>
      </c>
      <c r="B401" t="s">
        <v>334</v>
      </c>
      <c r="C401">
        <v>156</v>
      </c>
      <c r="D401" s="6">
        <v>66680.52</v>
      </c>
      <c r="E401" s="6">
        <v>22004.57</v>
      </c>
      <c r="F401" s="6">
        <v>22004.57</v>
      </c>
      <c r="G401" s="6">
        <v>15269.84</v>
      </c>
      <c r="H401" s="6">
        <f>SUM(Table134[[#This Row],[NOVEMBER PAYMENT]:[MAY PAYMENT 
(BUDGET REDUCTION)]])</f>
        <v>59278.979999999996</v>
      </c>
    </row>
    <row r="402" spans="1:8" x14ac:dyDescent="0.25">
      <c r="A402" t="str">
        <f>"058933"</f>
        <v>058933</v>
      </c>
      <c r="B402" t="s">
        <v>335</v>
      </c>
      <c r="C402">
        <v>111</v>
      </c>
      <c r="D402" s="6">
        <v>47445.75</v>
      </c>
      <c r="E402" s="6">
        <v>15657.1</v>
      </c>
      <c r="F402" s="6">
        <v>15657.1</v>
      </c>
      <c r="G402" s="6">
        <v>10865.07</v>
      </c>
      <c r="H402" s="6">
        <f>SUM(Table134[[#This Row],[NOVEMBER PAYMENT]:[MAY PAYMENT 
(BUDGET REDUCTION)]])</f>
        <v>42179.270000000004</v>
      </c>
    </row>
    <row r="403" spans="1:8" x14ac:dyDescent="0.25">
      <c r="A403" t="str">
        <f>"058941"</f>
        <v>058941</v>
      </c>
      <c r="B403" t="s">
        <v>336</v>
      </c>
      <c r="C403">
        <v>157</v>
      </c>
      <c r="D403" s="6">
        <v>67107.960000000006</v>
      </c>
      <c r="E403" s="6">
        <v>22145.63</v>
      </c>
      <c r="F403" s="6">
        <v>22145.62</v>
      </c>
      <c r="G403" s="6">
        <v>15367.73</v>
      </c>
      <c r="H403" s="6">
        <f>SUM(Table134[[#This Row],[NOVEMBER PAYMENT]:[MAY PAYMENT 
(BUDGET REDUCTION)]])</f>
        <v>59658.979999999996</v>
      </c>
    </row>
    <row r="404" spans="1:8" x14ac:dyDescent="0.25">
      <c r="A404" t="str">
        <f>"059014"</f>
        <v>059014</v>
      </c>
      <c r="B404" t="s">
        <v>337</v>
      </c>
      <c r="C404">
        <v>74</v>
      </c>
      <c r="D404" s="6">
        <v>31630.5</v>
      </c>
      <c r="E404" s="6">
        <v>10438.07</v>
      </c>
      <c r="F404" s="6">
        <v>10438.060000000001</v>
      </c>
      <c r="G404" s="6">
        <v>7243.38</v>
      </c>
      <c r="H404" s="6">
        <f>SUM(Table134[[#This Row],[NOVEMBER PAYMENT]:[MAY PAYMENT 
(BUDGET REDUCTION)]])</f>
        <v>28119.510000000002</v>
      </c>
    </row>
    <row r="405" spans="1:8" x14ac:dyDescent="0.25">
      <c r="A405" t="str">
        <f>"059022"</f>
        <v>059022</v>
      </c>
      <c r="B405" t="s">
        <v>338</v>
      </c>
      <c r="C405">
        <v>96</v>
      </c>
      <c r="D405" s="6">
        <v>41034.17</v>
      </c>
      <c r="E405" s="6">
        <v>13541.28</v>
      </c>
      <c r="F405" s="6">
        <v>13541.269999999999</v>
      </c>
      <c r="G405" s="6">
        <v>9396.83</v>
      </c>
      <c r="H405" s="6">
        <f>SUM(Table134[[#This Row],[NOVEMBER PAYMENT]:[MAY PAYMENT 
(BUDGET REDUCTION)]])</f>
        <v>36479.379999999997</v>
      </c>
    </row>
    <row r="406" spans="1:8" x14ac:dyDescent="0.25">
      <c r="A406" t="str">
        <f>"059055"</f>
        <v>059055</v>
      </c>
      <c r="B406" t="s">
        <v>225</v>
      </c>
      <c r="C406">
        <v>31</v>
      </c>
      <c r="D406" s="6">
        <v>13250.62</v>
      </c>
      <c r="E406" s="6">
        <v>4372.7</v>
      </c>
      <c r="F406" s="6">
        <v>4372.71</v>
      </c>
      <c r="G406" s="6">
        <v>3034.39</v>
      </c>
      <c r="H406" s="6">
        <f>SUM(Table134[[#This Row],[NOVEMBER PAYMENT]:[MAY PAYMENT 
(BUDGET REDUCTION)]])</f>
        <v>11779.8</v>
      </c>
    </row>
    <row r="407" spans="1:8" x14ac:dyDescent="0.25">
      <c r="A407" t="str">
        <f>"059071"</f>
        <v>059071</v>
      </c>
      <c r="B407" t="s">
        <v>225</v>
      </c>
      <c r="C407">
        <v>67</v>
      </c>
      <c r="D407" s="6">
        <v>28638.43</v>
      </c>
      <c r="E407" s="6">
        <v>9450.68</v>
      </c>
      <c r="F407" s="6">
        <v>9450.68</v>
      </c>
      <c r="G407" s="6">
        <v>6558.2</v>
      </c>
      <c r="H407" s="6">
        <f>SUM(Table134[[#This Row],[NOVEMBER PAYMENT]:[MAY PAYMENT 
(BUDGET REDUCTION)]])</f>
        <v>25459.56</v>
      </c>
    </row>
    <row r="408" spans="1:8" x14ac:dyDescent="0.25">
      <c r="A408" t="str">
        <f>"059089"</f>
        <v>059089</v>
      </c>
      <c r="B408" t="s">
        <v>225</v>
      </c>
      <c r="C408">
        <v>231</v>
      </c>
      <c r="D408" s="6">
        <v>98738.46</v>
      </c>
      <c r="E408" s="6">
        <v>32583.69</v>
      </c>
      <c r="F408" s="6">
        <v>32583.69</v>
      </c>
      <c r="G408" s="6">
        <v>22611.11</v>
      </c>
      <c r="H408" s="6">
        <f>SUM(Table134[[#This Row],[NOVEMBER PAYMENT]:[MAY PAYMENT 
(BUDGET REDUCTION)]])</f>
        <v>87778.489999999991</v>
      </c>
    </row>
    <row r="409" spans="1:8" x14ac:dyDescent="0.25">
      <c r="A409" t="str">
        <f>"059097"</f>
        <v>059097</v>
      </c>
      <c r="B409" t="s">
        <v>225</v>
      </c>
      <c r="C409">
        <v>71</v>
      </c>
      <c r="D409" s="6">
        <v>30348.18</v>
      </c>
      <c r="E409" s="6">
        <v>10014.9</v>
      </c>
      <c r="F409" s="6">
        <v>10014.9</v>
      </c>
      <c r="G409" s="6">
        <v>6949.73</v>
      </c>
      <c r="H409" s="6">
        <f>SUM(Table134[[#This Row],[NOVEMBER PAYMENT]:[MAY PAYMENT 
(BUDGET REDUCTION)]])</f>
        <v>26979.53</v>
      </c>
    </row>
    <row r="410" spans="1:8" x14ac:dyDescent="0.25">
      <c r="A410" t="str">
        <f>"059105"</f>
        <v>059105</v>
      </c>
      <c r="B410" t="s">
        <v>225</v>
      </c>
      <c r="C410">
        <v>401</v>
      </c>
      <c r="D410" s="6">
        <v>171403.13</v>
      </c>
      <c r="E410" s="6">
        <v>56563.03</v>
      </c>
      <c r="F410" s="6">
        <v>56563.040000000008</v>
      </c>
      <c r="G410" s="6">
        <v>39251.31</v>
      </c>
      <c r="H410" s="6">
        <f>SUM(Table134[[#This Row],[NOVEMBER PAYMENT]:[MAY PAYMENT 
(BUDGET REDUCTION)]])</f>
        <v>152377.38</v>
      </c>
    </row>
    <row r="411" spans="1:8" x14ac:dyDescent="0.25">
      <c r="A411" t="str">
        <f>"059139"</f>
        <v>059139</v>
      </c>
      <c r="B411" t="s">
        <v>229</v>
      </c>
      <c r="C411">
        <v>32</v>
      </c>
      <c r="D411" s="6">
        <v>13678.06</v>
      </c>
      <c r="E411" s="6">
        <v>4513.76</v>
      </c>
      <c r="F411" s="6">
        <v>4513.76</v>
      </c>
      <c r="G411" s="6">
        <v>3132.28</v>
      </c>
      <c r="H411" s="6">
        <f>SUM(Table134[[#This Row],[NOVEMBER PAYMENT]:[MAY PAYMENT 
(BUDGET REDUCTION)]])</f>
        <v>12159.800000000001</v>
      </c>
    </row>
    <row r="412" spans="1:8" x14ac:dyDescent="0.25">
      <c r="A412" t="str">
        <f>"059170"</f>
        <v>059170</v>
      </c>
      <c r="B412" t="s">
        <v>232</v>
      </c>
      <c r="C412">
        <v>81</v>
      </c>
      <c r="D412" s="6">
        <v>34622.58</v>
      </c>
      <c r="E412" s="6">
        <v>11425.45</v>
      </c>
      <c r="F412" s="6">
        <v>11425.45</v>
      </c>
      <c r="G412" s="6">
        <v>7928.57</v>
      </c>
      <c r="H412" s="6">
        <f>SUM(Table134[[#This Row],[NOVEMBER PAYMENT]:[MAY PAYMENT 
(BUDGET REDUCTION)]])</f>
        <v>30779.47</v>
      </c>
    </row>
    <row r="413" spans="1:8" x14ac:dyDescent="0.25">
      <c r="A413" t="str">
        <f>"059196"</f>
        <v>059196</v>
      </c>
      <c r="B413" t="s">
        <v>232</v>
      </c>
      <c r="C413">
        <v>84</v>
      </c>
      <c r="D413" s="6">
        <v>35904.89</v>
      </c>
      <c r="E413" s="6">
        <v>11848.61</v>
      </c>
      <c r="F413" s="6">
        <v>11848.619999999999</v>
      </c>
      <c r="G413" s="6">
        <v>8222.2199999999993</v>
      </c>
      <c r="H413" s="6">
        <f>SUM(Table134[[#This Row],[NOVEMBER PAYMENT]:[MAY PAYMENT 
(BUDGET REDUCTION)]])</f>
        <v>31919.449999999997</v>
      </c>
    </row>
    <row r="414" spans="1:8" x14ac:dyDescent="0.25">
      <c r="A414" t="str">
        <f>"059204"</f>
        <v>059204</v>
      </c>
      <c r="B414" t="s">
        <v>339</v>
      </c>
      <c r="C414">
        <v>64</v>
      </c>
      <c r="D414" s="6">
        <v>27356.11</v>
      </c>
      <c r="E414" s="6">
        <v>9027.52</v>
      </c>
      <c r="F414" s="6">
        <v>9027.5099999999984</v>
      </c>
      <c r="G414" s="6">
        <v>6264.55</v>
      </c>
      <c r="H414" s="6">
        <f>SUM(Table134[[#This Row],[NOVEMBER PAYMENT]:[MAY PAYMENT 
(BUDGET REDUCTION)]])</f>
        <v>24319.579999999998</v>
      </c>
    </row>
    <row r="415" spans="1:8" x14ac:dyDescent="0.25">
      <c r="A415" t="str">
        <f>"059246"</f>
        <v>059246</v>
      </c>
      <c r="B415" t="s">
        <v>340</v>
      </c>
      <c r="C415">
        <v>96</v>
      </c>
      <c r="D415" s="6">
        <v>41034.17</v>
      </c>
      <c r="E415" s="6">
        <v>13541.28</v>
      </c>
      <c r="F415" s="6">
        <v>13541.269999999999</v>
      </c>
      <c r="G415" s="6">
        <v>9396.83</v>
      </c>
      <c r="H415" s="6">
        <f>SUM(Table134[[#This Row],[NOVEMBER PAYMENT]:[MAY PAYMENT 
(BUDGET REDUCTION)]])</f>
        <v>36479.379999999997</v>
      </c>
    </row>
    <row r="416" spans="1:8" x14ac:dyDescent="0.25">
      <c r="A416" t="str">
        <f>"059279"</f>
        <v>059279</v>
      </c>
      <c r="B416" t="s">
        <v>232</v>
      </c>
      <c r="C416">
        <v>79</v>
      </c>
      <c r="D416" s="6">
        <v>33767.699999999997</v>
      </c>
      <c r="E416" s="6">
        <v>11143.34</v>
      </c>
      <c r="F416" s="6">
        <v>11143.34</v>
      </c>
      <c r="G416" s="6">
        <v>7732.81</v>
      </c>
      <c r="H416" s="6">
        <f>SUM(Table134[[#This Row],[NOVEMBER PAYMENT]:[MAY PAYMENT 
(BUDGET REDUCTION)]])</f>
        <v>30019.49</v>
      </c>
    </row>
    <row r="417" spans="1:8" x14ac:dyDescent="0.25">
      <c r="A417" t="str">
        <f>"059287"</f>
        <v>059287</v>
      </c>
      <c r="B417" t="s">
        <v>232</v>
      </c>
      <c r="C417">
        <v>91</v>
      </c>
      <c r="D417" s="6">
        <v>38896.97</v>
      </c>
      <c r="E417" s="6">
        <v>12836</v>
      </c>
      <c r="F417" s="6">
        <v>12836</v>
      </c>
      <c r="G417" s="6">
        <v>8907.41</v>
      </c>
      <c r="H417" s="6">
        <f>SUM(Table134[[#This Row],[NOVEMBER PAYMENT]:[MAY PAYMENT 
(BUDGET REDUCTION)]])</f>
        <v>34579.410000000003</v>
      </c>
    </row>
    <row r="418" spans="1:8" x14ac:dyDescent="0.25">
      <c r="A418" t="str">
        <f>"059303"</f>
        <v>059303</v>
      </c>
      <c r="B418" t="s">
        <v>341</v>
      </c>
      <c r="C418">
        <v>391</v>
      </c>
      <c r="D418" s="6">
        <v>167128.73000000001</v>
      </c>
      <c r="E418" s="6">
        <v>55152.480000000003</v>
      </c>
      <c r="F418" s="6">
        <v>55152.480000000003</v>
      </c>
      <c r="G418" s="6">
        <v>38272.480000000003</v>
      </c>
      <c r="H418" s="6">
        <f>SUM(Table134[[#This Row],[NOVEMBER PAYMENT]:[MAY PAYMENT 
(BUDGET REDUCTION)]])</f>
        <v>148577.44</v>
      </c>
    </row>
    <row r="419" spans="1:8" x14ac:dyDescent="0.25">
      <c r="A419" t="str">
        <f>"059337"</f>
        <v>059337</v>
      </c>
      <c r="B419" t="s">
        <v>236</v>
      </c>
      <c r="C419">
        <v>109</v>
      </c>
      <c r="D419" s="6">
        <v>46590.87</v>
      </c>
      <c r="E419" s="6">
        <v>15374.99</v>
      </c>
      <c r="F419" s="6">
        <v>15374.980000000001</v>
      </c>
      <c r="G419" s="6">
        <v>10669.31</v>
      </c>
      <c r="H419" s="6">
        <f>SUM(Table134[[#This Row],[NOVEMBER PAYMENT]:[MAY PAYMENT 
(BUDGET REDUCTION)]])</f>
        <v>41419.279999999999</v>
      </c>
    </row>
    <row r="420" spans="1:8" x14ac:dyDescent="0.25">
      <c r="A420" t="str">
        <f>"059345"</f>
        <v>059345</v>
      </c>
      <c r="B420" t="s">
        <v>342</v>
      </c>
      <c r="C420">
        <v>325</v>
      </c>
      <c r="D420" s="6">
        <v>138917.75</v>
      </c>
      <c r="E420" s="6">
        <v>45842.86</v>
      </c>
      <c r="F420" s="6">
        <v>45842.86</v>
      </c>
      <c r="G420" s="6">
        <v>31812.16</v>
      </c>
      <c r="H420" s="6">
        <f>SUM(Table134[[#This Row],[NOVEMBER PAYMENT]:[MAY PAYMENT 
(BUDGET REDUCTION)]])</f>
        <v>123497.88</v>
      </c>
    </row>
    <row r="421" spans="1:8" x14ac:dyDescent="0.25">
      <c r="A421" t="str">
        <f>"059360"</f>
        <v>059360</v>
      </c>
      <c r="B421" t="s">
        <v>237</v>
      </c>
      <c r="C421">
        <v>125</v>
      </c>
      <c r="D421" s="6">
        <v>53429.9</v>
      </c>
      <c r="E421" s="6">
        <v>17631.87</v>
      </c>
      <c r="F421" s="6">
        <v>17631.860000000004</v>
      </c>
      <c r="G421" s="6">
        <v>12235.45</v>
      </c>
      <c r="H421" s="6">
        <f>SUM(Table134[[#This Row],[NOVEMBER PAYMENT]:[MAY PAYMENT 
(BUDGET REDUCTION)]])</f>
        <v>47499.180000000008</v>
      </c>
    </row>
    <row r="422" spans="1:8" x14ac:dyDescent="0.25">
      <c r="A422" t="str">
        <f>"059378"</f>
        <v>059378</v>
      </c>
      <c r="B422" t="s">
        <v>237</v>
      </c>
      <c r="C422">
        <v>161</v>
      </c>
      <c r="D422" s="6">
        <v>68817.710000000006</v>
      </c>
      <c r="E422" s="6">
        <v>22709.84</v>
      </c>
      <c r="F422" s="6">
        <v>22709.850000000002</v>
      </c>
      <c r="G422" s="6">
        <v>15759.25</v>
      </c>
      <c r="H422" s="6">
        <f>SUM(Table134[[#This Row],[NOVEMBER PAYMENT]:[MAY PAYMENT 
(BUDGET REDUCTION)]])</f>
        <v>61178.94</v>
      </c>
    </row>
    <row r="423" spans="1:8" x14ac:dyDescent="0.25">
      <c r="A423" t="str">
        <f>"059386"</f>
        <v>059386</v>
      </c>
      <c r="B423" t="s">
        <v>237</v>
      </c>
      <c r="C423">
        <v>125</v>
      </c>
      <c r="D423" s="6">
        <v>53429.9</v>
      </c>
      <c r="E423" s="6">
        <v>17631.87</v>
      </c>
      <c r="F423" s="6">
        <v>17631.860000000004</v>
      </c>
      <c r="G423" s="6">
        <v>12235.45</v>
      </c>
      <c r="H423" s="6">
        <f>SUM(Table134[[#This Row],[NOVEMBER PAYMENT]:[MAY PAYMENT 
(BUDGET REDUCTION)]])</f>
        <v>47499.180000000008</v>
      </c>
    </row>
    <row r="424" spans="1:8" x14ac:dyDescent="0.25">
      <c r="A424" t="str">
        <f>"059394"</f>
        <v>059394</v>
      </c>
      <c r="B424" t="s">
        <v>295</v>
      </c>
      <c r="C424">
        <v>257</v>
      </c>
      <c r="D424" s="6">
        <v>109851.88</v>
      </c>
      <c r="E424" s="6">
        <v>36251.120000000003</v>
      </c>
      <c r="F424" s="6">
        <v>36251.120000000003</v>
      </c>
      <c r="G424" s="6">
        <v>25156.080000000002</v>
      </c>
      <c r="H424" s="6">
        <f>SUM(Table134[[#This Row],[NOVEMBER PAYMENT]:[MAY PAYMENT 
(BUDGET REDUCTION)]])</f>
        <v>97658.32</v>
      </c>
    </row>
    <row r="425" spans="1:8" x14ac:dyDescent="0.25">
      <c r="A425" t="str">
        <f>"059428"</f>
        <v>059428</v>
      </c>
      <c r="B425" t="s">
        <v>319</v>
      </c>
      <c r="C425">
        <v>150</v>
      </c>
      <c r="D425" s="6">
        <v>64115.88</v>
      </c>
      <c r="E425" s="6">
        <v>21158.240000000002</v>
      </c>
      <c r="F425" s="6">
        <v>21158.240000000002</v>
      </c>
      <c r="G425" s="6">
        <v>14682.54</v>
      </c>
      <c r="H425" s="6">
        <f>SUM(Table134[[#This Row],[NOVEMBER PAYMENT]:[MAY PAYMENT 
(BUDGET REDUCTION)]])</f>
        <v>56999.020000000004</v>
      </c>
    </row>
    <row r="426" spans="1:8" x14ac:dyDescent="0.25">
      <c r="A426" t="str">
        <f>"059436"</f>
        <v>059436</v>
      </c>
      <c r="B426" t="s">
        <v>343</v>
      </c>
      <c r="C426">
        <v>56</v>
      </c>
      <c r="D426" s="6">
        <v>23936.6</v>
      </c>
      <c r="E426" s="6">
        <v>7899.08</v>
      </c>
      <c r="F426" s="6">
        <v>7899.08</v>
      </c>
      <c r="G426" s="6">
        <v>5481.48</v>
      </c>
      <c r="H426" s="6">
        <f>SUM(Table134[[#This Row],[NOVEMBER PAYMENT]:[MAY PAYMENT 
(BUDGET REDUCTION)]])</f>
        <v>21279.64</v>
      </c>
    </row>
    <row r="427" spans="1:8" x14ac:dyDescent="0.25">
      <c r="A427" t="str">
        <f>"059444"</f>
        <v>059444</v>
      </c>
      <c r="B427" t="s">
        <v>320</v>
      </c>
      <c r="C427">
        <v>106</v>
      </c>
      <c r="D427" s="6">
        <v>45308.56</v>
      </c>
      <c r="E427" s="6">
        <v>14951.82</v>
      </c>
      <c r="F427" s="6">
        <v>14951.830000000002</v>
      </c>
      <c r="G427" s="6">
        <v>10375.66</v>
      </c>
      <c r="H427" s="6">
        <f>SUM(Table134[[#This Row],[NOVEMBER PAYMENT]:[MAY PAYMENT 
(BUDGET REDUCTION)]])</f>
        <v>40279.31</v>
      </c>
    </row>
    <row r="428" spans="1:8" x14ac:dyDescent="0.25">
      <c r="A428" t="str">
        <f>"059451"</f>
        <v>059451</v>
      </c>
      <c r="B428" t="s">
        <v>320</v>
      </c>
      <c r="C428">
        <v>334</v>
      </c>
      <c r="D428" s="6">
        <v>142764.70000000001</v>
      </c>
      <c r="E428" s="6">
        <v>47112.35</v>
      </c>
      <c r="F428" s="6">
        <v>47112.35</v>
      </c>
      <c r="G428" s="6">
        <v>32693.119999999999</v>
      </c>
      <c r="H428" s="6">
        <f>SUM(Table134[[#This Row],[NOVEMBER PAYMENT]:[MAY PAYMENT 
(BUDGET REDUCTION)]])</f>
        <v>126917.81999999999</v>
      </c>
    </row>
    <row r="429" spans="1:8" x14ac:dyDescent="0.25">
      <c r="A429" t="str">
        <f>"059535"</f>
        <v>059535</v>
      </c>
      <c r="B429" t="s">
        <v>329</v>
      </c>
      <c r="C429">
        <v>99</v>
      </c>
      <c r="D429" s="6">
        <v>42316.480000000003</v>
      </c>
      <c r="E429" s="6">
        <v>13964.44</v>
      </c>
      <c r="F429" s="6">
        <v>13964.44</v>
      </c>
      <c r="G429" s="6">
        <v>9690.4699999999993</v>
      </c>
      <c r="H429" s="6">
        <f>SUM(Table134[[#This Row],[NOVEMBER PAYMENT]:[MAY PAYMENT 
(BUDGET REDUCTION)]])</f>
        <v>37619.35</v>
      </c>
    </row>
    <row r="430" spans="1:8" x14ac:dyDescent="0.25">
      <c r="A430" t="str">
        <f>"059592"</f>
        <v>059592</v>
      </c>
      <c r="B430" t="s">
        <v>333</v>
      </c>
      <c r="C430">
        <v>290</v>
      </c>
      <c r="D430" s="6">
        <v>123957.37</v>
      </c>
      <c r="E430" s="6">
        <v>40905.93</v>
      </c>
      <c r="F430" s="6">
        <v>40905.93</v>
      </c>
      <c r="G430" s="6">
        <v>28386.240000000002</v>
      </c>
      <c r="H430" s="6">
        <f>SUM(Table134[[#This Row],[NOVEMBER PAYMENT]:[MAY PAYMENT 
(BUDGET REDUCTION)]])</f>
        <v>110198.1</v>
      </c>
    </row>
    <row r="431" spans="1:8" x14ac:dyDescent="0.25">
      <c r="A431" t="str">
        <f>"059626"</f>
        <v>059626</v>
      </c>
      <c r="B431" t="s">
        <v>344</v>
      </c>
      <c r="C431">
        <v>173</v>
      </c>
      <c r="D431" s="6">
        <v>73946.98</v>
      </c>
      <c r="E431" s="6">
        <v>24402.5</v>
      </c>
      <c r="F431" s="6">
        <v>24402.510000000002</v>
      </c>
      <c r="G431" s="6">
        <v>16933.86</v>
      </c>
      <c r="H431" s="6">
        <f>SUM(Table134[[#This Row],[NOVEMBER PAYMENT]:[MAY PAYMENT 
(BUDGET REDUCTION)]])</f>
        <v>65738.87</v>
      </c>
    </row>
    <row r="432" spans="1:8" x14ac:dyDescent="0.25">
      <c r="A432" t="str">
        <f>"059634"</f>
        <v>059634</v>
      </c>
      <c r="B432" t="s">
        <v>345</v>
      </c>
      <c r="C432">
        <v>112</v>
      </c>
      <c r="D432" s="6">
        <v>47873.19</v>
      </c>
      <c r="E432" s="6">
        <v>15798.15</v>
      </c>
      <c r="F432" s="6">
        <v>15798.160000000002</v>
      </c>
      <c r="G432" s="6">
        <v>10962.96</v>
      </c>
      <c r="H432" s="6">
        <f>SUM(Table134[[#This Row],[NOVEMBER PAYMENT]:[MAY PAYMENT 
(BUDGET REDUCTION)]])</f>
        <v>42559.270000000004</v>
      </c>
    </row>
    <row r="433" spans="1:8" x14ac:dyDescent="0.25">
      <c r="A433" t="str">
        <f>"059667"</f>
        <v>059667</v>
      </c>
      <c r="B433" t="s">
        <v>142</v>
      </c>
      <c r="C433">
        <v>181</v>
      </c>
      <c r="D433" s="6">
        <v>77366.5</v>
      </c>
      <c r="E433" s="6">
        <v>25530.95</v>
      </c>
      <c r="F433" s="6">
        <v>25530.94</v>
      </c>
      <c r="G433" s="6">
        <v>17716.93</v>
      </c>
      <c r="H433" s="6">
        <f>SUM(Table134[[#This Row],[NOVEMBER PAYMENT]:[MAY PAYMENT 
(BUDGET REDUCTION)]])</f>
        <v>68778.820000000007</v>
      </c>
    </row>
    <row r="434" spans="1:8" x14ac:dyDescent="0.25">
      <c r="A434" t="str">
        <f>"059691"</f>
        <v>059691</v>
      </c>
      <c r="B434" t="s">
        <v>235</v>
      </c>
      <c r="C434">
        <v>341</v>
      </c>
      <c r="D434" s="6">
        <v>145756.76999999999</v>
      </c>
      <c r="E434" s="6">
        <v>48099.73</v>
      </c>
      <c r="F434" s="6">
        <v>48099.74</v>
      </c>
      <c r="G434" s="6">
        <v>33378.300000000003</v>
      </c>
      <c r="H434" s="6">
        <f>SUM(Table134[[#This Row],[NOVEMBER PAYMENT]:[MAY PAYMENT 
(BUDGET REDUCTION)]])</f>
        <v>129577.77</v>
      </c>
    </row>
    <row r="435" spans="1:8" x14ac:dyDescent="0.25">
      <c r="A435" t="str">
        <f>"059717"</f>
        <v>059717</v>
      </c>
      <c r="B435" t="s">
        <v>237</v>
      </c>
      <c r="C435">
        <v>129</v>
      </c>
      <c r="D435" s="6">
        <v>55139.66</v>
      </c>
      <c r="E435" s="6">
        <v>18196.09</v>
      </c>
      <c r="F435" s="6">
        <v>18196.09</v>
      </c>
      <c r="G435" s="6">
        <v>12626.98</v>
      </c>
      <c r="H435" s="6">
        <f>SUM(Table134[[#This Row],[NOVEMBER PAYMENT]:[MAY PAYMENT 
(BUDGET REDUCTION)]])</f>
        <v>49019.16</v>
      </c>
    </row>
    <row r="436" spans="1:8" x14ac:dyDescent="0.25">
      <c r="A436" t="str">
        <f>"059733"</f>
        <v>059733</v>
      </c>
      <c r="B436" t="s">
        <v>303</v>
      </c>
      <c r="C436">
        <v>196</v>
      </c>
      <c r="D436" s="6">
        <v>83778.09</v>
      </c>
      <c r="E436" s="6">
        <v>27646.77</v>
      </c>
      <c r="F436" s="6">
        <v>27646.77</v>
      </c>
      <c r="G436" s="6">
        <v>19185.18</v>
      </c>
      <c r="H436" s="6">
        <f>SUM(Table134[[#This Row],[NOVEMBER PAYMENT]:[MAY PAYMENT 
(BUDGET REDUCTION)]])</f>
        <v>74478.720000000001</v>
      </c>
    </row>
    <row r="437" spans="1:8" x14ac:dyDescent="0.25">
      <c r="A437" t="str">
        <f>"059790"</f>
        <v>059790</v>
      </c>
      <c r="B437" t="s">
        <v>320</v>
      </c>
      <c r="C437">
        <v>305</v>
      </c>
      <c r="D437" s="6">
        <v>130368.96000000001</v>
      </c>
      <c r="E437" s="6">
        <v>43021.760000000002</v>
      </c>
      <c r="F437" s="6">
        <v>43021.749999999993</v>
      </c>
      <c r="G437" s="6">
        <v>29854.5</v>
      </c>
      <c r="H437" s="6">
        <f>SUM(Table134[[#This Row],[NOVEMBER PAYMENT]:[MAY PAYMENT 
(BUDGET REDUCTION)]])</f>
        <v>115898.01</v>
      </c>
    </row>
    <row r="438" spans="1:8" x14ac:dyDescent="0.25">
      <c r="A438" t="str">
        <f>"059816"</f>
        <v>059816</v>
      </c>
      <c r="B438" t="s">
        <v>236</v>
      </c>
      <c r="C438">
        <v>218</v>
      </c>
      <c r="D438" s="6">
        <v>93181.75</v>
      </c>
      <c r="E438" s="6">
        <v>30749.98</v>
      </c>
      <c r="F438" s="6">
        <v>30749.98</v>
      </c>
      <c r="G438" s="6">
        <v>21338.62</v>
      </c>
      <c r="H438" s="6">
        <f>SUM(Table134[[#This Row],[NOVEMBER PAYMENT]:[MAY PAYMENT 
(BUDGET REDUCTION)]])</f>
        <v>82838.58</v>
      </c>
    </row>
    <row r="439" spans="1:8" x14ac:dyDescent="0.25">
      <c r="A439" t="str">
        <f>"059840"</f>
        <v>059840</v>
      </c>
      <c r="B439" t="s">
        <v>229</v>
      </c>
      <c r="C439">
        <v>29</v>
      </c>
      <c r="D439" s="6">
        <v>12395.74</v>
      </c>
      <c r="E439" s="6">
        <v>4090.59</v>
      </c>
      <c r="F439" s="6">
        <v>4090.5999999999995</v>
      </c>
      <c r="G439" s="6">
        <v>2838.62</v>
      </c>
      <c r="H439" s="6">
        <f>SUM(Table134[[#This Row],[NOVEMBER PAYMENT]:[MAY PAYMENT 
(BUDGET REDUCTION)]])</f>
        <v>11019.81</v>
      </c>
    </row>
    <row r="440" spans="1:8" x14ac:dyDescent="0.25">
      <c r="A440" t="str">
        <f>"059865"</f>
        <v>059865</v>
      </c>
      <c r="B440" t="s">
        <v>346</v>
      </c>
      <c r="C440">
        <v>68</v>
      </c>
      <c r="D440" s="6">
        <v>29065.87</v>
      </c>
      <c r="E440" s="6">
        <v>9591.74</v>
      </c>
      <c r="F440" s="6">
        <v>9591.7300000000014</v>
      </c>
      <c r="G440" s="6">
        <v>6656.09</v>
      </c>
      <c r="H440" s="6">
        <f>SUM(Table134[[#This Row],[NOVEMBER PAYMENT]:[MAY PAYMENT 
(BUDGET REDUCTION)]])</f>
        <v>25839.56</v>
      </c>
    </row>
    <row r="441" spans="1:8" x14ac:dyDescent="0.25">
      <c r="A441" t="str">
        <f>"059881"</f>
        <v>059881</v>
      </c>
      <c r="B441" t="s">
        <v>232</v>
      </c>
      <c r="C441">
        <v>173</v>
      </c>
      <c r="D441" s="6">
        <v>73946.98</v>
      </c>
      <c r="E441" s="6">
        <v>24402.5</v>
      </c>
      <c r="F441" s="6">
        <v>24402.510000000002</v>
      </c>
      <c r="G441" s="6">
        <v>16933.86</v>
      </c>
      <c r="H441" s="6">
        <f>SUM(Table134[[#This Row],[NOVEMBER PAYMENT]:[MAY PAYMENT 
(BUDGET REDUCTION)]])</f>
        <v>65738.87</v>
      </c>
    </row>
    <row r="442" spans="1:8" x14ac:dyDescent="0.25">
      <c r="A442" t="str">
        <f>"059956"</f>
        <v>059956</v>
      </c>
      <c r="B442" t="s">
        <v>318</v>
      </c>
      <c r="C442">
        <v>327</v>
      </c>
      <c r="D442" s="6">
        <v>139772.62</v>
      </c>
      <c r="E442" s="6">
        <v>46124.959999999999</v>
      </c>
      <c r="F442" s="6">
        <v>46124.969999999994</v>
      </c>
      <c r="G442" s="6">
        <v>32007.93</v>
      </c>
      <c r="H442" s="6">
        <f>SUM(Table134[[#This Row],[NOVEMBER PAYMENT]:[MAY PAYMENT 
(BUDGET REDUCTION)]])</f>
        <v>124257.85999999999</v>
      </c>
    </row>
    <row r="443" spans="1:8" x14ac:dyDescent="0.25">
      <c r="A443" t="str">
        <f>"059964"</f>
        <v>059964</v>
      </c>
      <c r="B443" t="s">
        <v>181</v>
      </c>
      <c r="C443">
        <v>250</v>
      </c>
      <c r="D443" s="6">
        <v>106859.8</v>
      </c>
      <c r="E443" s="6">
        <v>35263.730000000003</v>
      </c>
      <c r="F443" s="6">
        <v>35263.74</v>
      </c>
      <c r="G443" s="6">
        <v>24470.89</v>
      </c>
      <c r="H443" s="6">
        <f>SUM(Table134[[#This Row],[NOVEMBER PAYMENT]:[MAY PAYMENT 
(BUDGET REDUCTION)]])</f>
        <v>94998.36</v>
      </c>
    </row>
    <row r="444" spans="1:8" x14ac:dyDescent="0.25">
      <c r="A444" t="str">
        <f>"059980"</f>
        <v>059980</v>
      </c>
      <c r="B444" t="s">
        <v>318</v>
      </c>
      <c r="C444">
        <v>79</v>
      </c>
      <c r="D444" s="6">
        <v>33767.699999999997</v>
      </c>
      <c r="E444" s="6">
        <v>11143.34</v>
      </c>
      <c r="F444" s="6">
        <v>11143.34</v>
      </c>
      <c r="G444" s="6">
        <v>7732.81</v>
      </c>
      <c r="H444" s="6">
        <f>SUM(Table134[[#This Row],[NOVEMBER PAYMENT]:[MAY PAYMENT 
(BUDGET REDUCTION)]])</f>
        <v>30019.49</v>
      </c>
    </row>
    <row r="445" spans="1:8" x14ac:dyDescent="0.25">
      <c r="A445" t="str">
        <f>"060004"</f>
        <v>060004</v>
      </c>
      <c r="B445" t="s">
        <v>347</v>
      </c>
      <c r="C445">
        <v>187</v>
      </c>
      <c r="D445" s="6">
        <v>79931.13</v>
      </c>
      <c r="E445" s="6">
        <v>26377.27</v>
      </c>
      <c r="F445" s="6">
        <v>26377.280000000002</v>
      </c>
      <c r="G445" s="6">
        <v>18304.22</v>
      </c>
      <c r="H445" s="6">
        <f>SUM(Table134[[#This Row],[NOVEMBER PAYMENT]:[MAY PAYMENT 
(BUDGET REDUCTION)]])</f>
        <v>71058.77</v>
      </c>
    </row>
    <row r="446" spans="1:8" x14ac:dyDescent="0.25">
      <c r="A446" t="str">
        <f>"060012"</f>
        <v>060012</v>
      </c>
      <c r="B446" t="s">
        <v>225</v>
      </c>
      <c r="C446">
        <v>114</v>
      </c>
      <c r="D446" s="6">
        <v>48728.07</v>
      </c>
      <c r="E446" s="6">
        <v>16080.26</v>
      </c>
      <c r="F446" s="6">
        <v>16080.269999999999</v>
      </c>
      <c r="G446" s="6">
        <v>11158.72</v>
      </c>
      <c r="H446" s="6">
        <f>SUM(Table134[[#This Row],[NOVEMBER PAYMENT]:[MAY PAYMENT 
(BUDGET REDUCTION)]])</f>
        <v>43319.25</v>
      </c>
    </row>
    <row r="447" spans="1:8" x14ac:dyDescent="0.25">
      <c r="A447" t="str">
        <f>"060020"</f>
        <v>060020</v>
      </c>
      <c r="B447" t="s">
        <v>348</v>
      </c>
      <c r="C447">
        <v>267</v>
      </c>
      <c r="D447" s="6">
        <v>114126.27</v>
      </c>
      <c r="E447" s="6">
        <v>37661.67</v>
      </c>
      <c r="F447" s="6">
        <v>37661.67</v>
      </c>
      <c r="G447" s="6">
        <v>26134.91</v>
      </c>
      <c r="H447" s="6">
        <f>SUM(Table134[[#This Row],[NOVEMBER PAYMENT]:[MAY PAYMENT 
(BUDGET REDUCTION)]])</f>
        <v>101458.25</v>
      </c>
    </row>
    <row r="448" spans="1:8" x14ac:dyDescent="0.25">
      <c r="A448" t="str">
        <f>"060095"</f>
        <v>060095</v>
      </c>
      <c r="B448" t="s">
        <v>221</v>
      </c>
      <c r="C448">
        <v>51</v>
      </c>
      <c r="D448" s="6">
        <v>21799.4</v>
      </c>
      <c r="E448" s="6">
        <v>7193.8</v>
      </c>
      <c r="F448" s="6">
        <v>7193.8</v>
      </c>
      <c r="G448" s="6">
        <v>4992.07</v>
      </c>
      <c r="H448" s="6">
        <f>SUM(Table134[[#This Row],[NOVEMBER PAYMENT]:[MAY PAYMENT 
(BUDGET REDUCTION)]])</f>
        <v>19379.669999999998</v>
      </c>
    </row>
    <row r="449" spans="1:8" x14ac:dyDescent="0.25">
      <c r="A449" t="str">
        <f>"060152"</f>
        <v>060152</v>
      </c>
      <c r="B449" t="s">
        <v>349</v>
      </c>
      <c r="C449">
        <v>330</v>
      </c>
      <c r="D449" s="6">
        <v>141054.94</v>
      </c>
      <c r="E449" s="6">
        <v>46548.13</v>
      </c>
      <c r="F449" s="6">
        <v>46548.13</v>
      </c>
      <c r="G449" s="6">
        <v>32301.58</v>
      </c>
      <c r="H449" s="6">
        <f>SUM(Table134[[#This Row],[NOVEMBER PAYMENT]:[MAY PAYMENT 
(BUDGET REDUCTION)]])</f>
        <v>125397.84</v>
      </c>
    </row>
    <row r="450" spans="1:8" x14ac:dyDescent="0.25">
      <c r="A450" t="str">
        <f>"060301"</f>
        <v>060301</v>
      </c>
      <c r="B450" t="s">
        <v>350</v>
      </c>
      <c r="C450">
        <v>199</v>
      </c>
      <c r="D450" s="6">
        <v>85060.4</v>
      </c>
      <c r="E450" s="6">
        <v>28069.93</v>
      </c>
      <c r="F450" s="6">
        <v>28069.93</v>
      </c>
      <c r="G450" s="6">
        <v>19478.84</v>
      </c>
      <c r="H450" s="6">
        <f>SUM(Table134[[#This Row],[NOVEMBER PAYMENT]:[MAY PAYMENT 
(BUDGET REDUCTION)]])</f>
        <v>75618.7</v>
      </c>
    </row>
    <row r="451" spans="1:8" x14ac:dyDescent="0.25">
      <c r="A451" t="str">
        <f>"060327"</f>
        <v>060327</v>
      </c>
      <c r="B451" t="s">
        <v>351</v>
      </c>
      <c r="C451">
        <v>154</v>
      </c>
      <c r="D451" s="6">
        <v>65825.64</v>
      </c>
      <c r="E451" s="6">
        <v>21722.46</v>
      </c>
      <c r="F451" s="6">
        <v>21722.46</v>
      </c>
      <c r="G451" s="6">
        <v>15074.07</v>
      </c>
      <c r="H451" s="6">
        <f>SUM(Table134[[#This Row],[NOVEMBER PAYMENT]:[MAY PAYMENT 
(BUDGET REDUCTION)]])</f>
        <v>58518.99</v>
      </c>
    </row>
    <row r="452" spans="1:8" x14ac:dyDescent="0.25">
      <c r="A452" t="str">
        <f>"060335"</f>
        <v>060335</v>
      </c>
      <c r="B452" t="s">
        <v>352</v>
      </c>
      <c r="C452">
        <v>25</v>
      </c>
      <c r="D452" s="6">
        <v>10685.98</v>
      </c>
      <c r="E452" s="6">
        <v>3526.37</v>
      </c>
      <c r="F452" s="6">
        <v>3526.38</v>
      </c>
      <c r="G452" s="6">
        <v>2447.09</v>
      </c>
      <c r="H452" s="6">
        <f>SUM(Table134[[#This Row],[NOVEMBER PAYMENT]:[MAY PAYMENT 
(BUDGET REDUCTION)]])</f>
        <v>9499.84</v>
      </c>
    </row>
    <row r="453" spans="1:8" x14ac:dyDescent="0.25">
      <c r="A453" t="str">
        <f>"060343"</f>
        <v>060343</v>
      </c>
      <c r="B453" t="s">
        <v>353</v>
      </c>
      <c r="C453">
        <v>228</v>
      </c>
      <c r="D453" s="6">
        <v>97456.14</v>
      </c>
      <c r="E453" s="6">
        <v>32160.53</v>
      </c>
      <c r="F453" s="6">
        <v>32160.520000000004</v>
      </c>
      <c r="G453" s="6">
        <v>22317.46</v>
      </c>
      <c r="H453" s="6">
        <f>SUM(Table134[[#This Row],[NOVEMBER PAYMENT]:[MAY PAYMENT 
(BUDGET REDUCTION)]])</f>
        <v>86638.510000000009</v>
      </c>
    </row>
    <row r="454" spans="1:8" x14ac:dyDescent="0.25">
      <c r="A454" t="str">
        <f>"060368"</f>
        <v>060368</v>
      </c>
      <c r="B454" t="s">
        <v>354</v>
      </c>
      <c r="C454">
        <v>158</v>
      </c>
      <c r="D454" s="6">
        <v>67535.399999999994</v>
      </c>
      <c r="E454" s="6">
        <v>22286.68</v>
      </c>
      <c r="F454" s="6">
        <v>22286.68</v>
      </c>
      <c r="G454" s="6">
        <v>15465.61</v>
      </c>
      <c r="H454" s="6">
        <f>SUM(Table134[[#This Row],[NOVEMBER PAYMENT]:[MAY PAYMENT 
(BUDGET REDUCTION)]])</f>
        <v>60038.97</v>
      </c>
    </row>
    <row r="455" spans="1:8" x14ac:dyDescent="0.25">
      <c r="A455" t="str">
        <f>"060384"</f>
        <v>060384</v>
      </c>
      <c r="B455" t="s">
        <v>355</v>
      </c>
      <c r="C455">
        <v>160</v>
      </c>
      <c r="D455" s="6">
        <v>68390.28</v>
      </c>
      <c r="E455" s="6">
        <v>22568.79</v>
      </c>
      <c r="F455" s="6">
        <v>22568.79</v>
      </c>
      <c r="G455" s="6">
        <v>15661.38</v>
      </c>
      <c r="H455" s="6">
        <f>SUM(Table134[[#This Row],[NOVEMBER PAYMENT]:[MAY PAYMENT 
(BUDGET REDUCTION)]])</f>
        <v>60798.96</v>
      </c>
    </row>
    <row r="456" spans="1:8" x14ac:dyDescent="0.25">
      <c r="A456" t="str">
        <f>"060392"</f>
        <v>060392</v>
      </c>
      <c r="B456" t="s">
        <v>355</v>
      </c>
      <c r="C456">
        <v>83</v>
      </c>
      <c r="D456" s="6">
        <v>35477.46</v>
      </c>
      <c r="E456" s="6">
        <v>11707.56</v>
      </c>
      <c r="F456" s="6">
        <v>11707.56</v>
      </c>
      <c r="G456" s="6">
        <v>8124.34</v>
      </c>
      <c r="H456" s="6">
        <f>SUM(Table134[[#This Row],[NOVEMBER PAYMENT]:[MAY PAYMENT 
(BUDGET REDUCTION)]])</f>
        <v>31539.46</v>
      </c>
    </row>
    <row r="457" spans="1:8" x14ac:dyDescent="0.25">
      <c r="A457" t="str">
        <f>"060426"</f>
        <v>060426</v>
      </c>
      <c r="B457" t="s">
        <v>355</v>
      </c>
      <c r="C457">
        <v>197</v>
      </c>
      <c r="D457" s="6">
        <v>84205.53</v>
      </c>
      <c r="E457" s="6">
        <v>27787.82</v>
      </c>
      <c r="F457" s="6">
        <v>27787.83</v>
      </c>
      <c r="G457" s="6">
        <v>19283.07</v>
      </c>
      <c r="H457" s="6">
        <f>SUM(Table134[[#This Row],[NOVEMBER PAYMENT]:[MAY PAYMENT 
(BUDGET REDUCTION)]])</f>
        <v>74858.720000000001</v>
      </c>
    </row>
    <row r="458" spans="1:8" x14ac:dyDescent="0.25">
      <c r="A458" t="str">
        <f>"060434"</f>
        <v>060434</v>
      </c>
      <c r="B458" t="s">
        <v>355</v>
      </c>
      <c r="C458">
        <v>39</v>
      </c>
      <c r="D458" s="6">
        <v>16670.13</v>
      </c>
      <c r="E458" s="6">
        <v>5501.14</v>
      </c>
      <c r="F458" s="6">
        <v>5501.1500000000005</v>
      </c>
      <c r="G458" s="6">
        <v>3817.46</v>
      </c>
      <c r="H458" s="6">
        <f>SUM(Table134[[#This Row],[NOVEMBER PAYMENT]:[MAY PAYMENT 
(BUDGET REDUCTION)]])</f>
        <v>14819.75</v>
      </c>
    </row>
    <row r="459" spans="1:8" x14ac:dyDescent="0.25">
      <c r="A459" t="str">
        <f>"060491"</f>
        <v>060491</v>
      </c>
      <c r="B459" t="s">
        <v>356</v>
      </c>
      <c r="C459">
        <v>141</v>
      </c>
      <c r="D459" s="6">
        <v>60268.93</v>
      </c>
      <c r="E459" s="6">
        <v>19888.75</v>
      </c>
      <c r="F459" s="6">
        <v>19888.739999999998</v>
      </c>
      <c r="G459" s="6">
        <v>13801.59</v>
      </c>
      <c r="H459" s="6">
        <f>SUM(Table134[[#This Row],[NOVEMBER PAYMENT]:[MAY PAYMENT 
(BUDGET REDUCTION)]])</f>
        <v>53579.08</v>
      </c>
    </row>
    <row r="460" spans="1:8" x14ac:dyDescent="0.25">
      <c r="A460" t="str">
        <f>"060509"</f>
        <v>060509</v>
      </c>
      <c r="B460" t="s">
        <v>356</v>
      </c>
      <c r="C460">
        <v>136</v>
      </c>
      <c r="D460" s="6">
        <v>58131.73</v>
      </c>
      <c r="E460" s="6">
        <v>19183.47</v>
      </c>
      <c r="F460" s="6">
        <v>19183.47</v>
      </c>
      <c r="G460" s="6">
        <v>13312.17</v>
      </c>
      <c r="H460" s="6">
        <f>SUM(Table134[[#This Row],[NOVEMBER PAYMENT]:[MAY PAYMENT 
(BUDGET REDUCTION)]])</f>
        <v>51679.11</v>
      </c>
    </row>
    <row r="461" spans="1:8" x14ac:dyDescent="0.25">
      <c r="A461" t="str">
        <f>"060533"</f>
        <v>060533</v>
      </c>
      <c r="B461" t="s">
        <v>357</v>
      </c>
      <c r="C461">
        <v>8</v>
      </c>
      <c r="D461" s="6">
        <v>3419.51</v>
      </c>
      <c r="E461" s="6">
        <v>1128.44</v>
      </c>
      <c r="F461" s="6">
        <v>1128.44</v>
      </c>
      <c r="G461" s="6">
        <v>783.06</v>
      </c>
      <c r="H461" s="6">
        <f>SUM(Table134[[#This Row],[NOVEMBER PAYMENT]:[MAY PAYMENT 
(BUDGET REDUCTION)]])</f>
        <v>3039.94</v>
      </c>
    </row>
    <row r="462" spans="1:8" x14ac:dyDescent="0.25">
      <c r="A462" t="str">
        <f>"060541"</f>
        <v>060541</v>
      </c>
      <c r="B462" t="s">
        <v>358</v>
      </c>
      <c r="C462">
        <v>167</v>
      </c>
      <c r="D462" s="6">
        <v>71382.350000000006</v>
      </c>
      <c r="E462" s="6">
        <v>23556.18</v>
      </c>
      <c r="F462" s="6">
        <v>23556.17</v>
      </c>
      <c r="G462" s="6">
        <v>16346.56</v>
      </c>
      <c r="H462" s="6">
        <f>SUM(Table134[[#This Row],[NOVEMBER PAYMENT]:[MAY PAYMENT 
(BUDGET REDUCTION)]])</f>
        <v>63458.909999999996</v>
      </c>
    </row>
    <row r="463" spans="1:8" x14ac:dyDescent="0.25">
      <c r="A463" t="str">
        <f>"060574"</f>
        <v>060574</v>
      </c>
      <c r="B463" t="s">
        <v>359</v>
      </c>
      <c r="C463">
        <v>101</v>
      </c>
      <c r="D463" s="6">
        <v>43171.360000000001</v>
      </c>
      <c r="E463" s="6">
        <v>14246.55</v>
      </c>
      <c r="F463" s="6">
        <v>14246.55</v>
      </c>
      <c r="G463" s="6">
        <v>9886.24</v>
      </c>
      <c r="H463" s="6">
        <f>SUM(Table134[[#This Row],[NOVEMBER PAYMENT]:[MAY PAYMENT 
(BUDGET REDUCTION)]])</f>
        <v>38379.339999999997</v>
      </c>
    </row>
    <row r="464" spans="1:8" x14ac:dyDescent="0.25">
      <c r="A464" t="str">
        <f>"060582"</f>
        <v>060582</v>
      </c>
      <c r="B464" t="s">
        <v>360</v>
      </c>
      <c r="C464">
        <v>115</v>
      </c>
      <c r="D464" s="6">
        <v>49155.51</v>
      </c>
      <c r="E464" s="6">
        <v>16221.32</v>
      </c>
      <c r="F464" s="6">
        <v>16221.32</v>
      </c>
      <c r="G464" s="6">
        <v>11256.61</v>
      </c>
      <c r="H464" s="6">
        <f>SUM(Table134[[#This Row],[NOVEMBER PAYMENT]:[MAY PAYMENT 
(BUDGET REDUCTION)]])</f>
        <v>43699.25</v>
      </c>
    </row>
    <row r="465" spans="1:8" x14ac:dyDescent="0.25">
      <c r="A465" t="str">
        <f>"060590"</f>
        <v>060590</v>
      </c>
      <c r="B465" t="s">
        <v>361</v>
      </c>
      <c r="C465">
        <v>242</v>
      </c>
      <c r="D465" s="6">
        <v>103440.29</v>
      </c>
      <c r="E465" s="6">
        <v>34135.300000000003</v>
      </c>
      <c r="F465" s="6">
        <v>34135.289999999994</v>
      </c>
      <c r="G465" s="6">
        <v>23687.83</v>
      </c>
      <c r="H465" s="6">
        <f>SUM(Table134[[#This Row],[NOVEMBER PAYMENT]:[MAY PAYMENT 
(BUDGET REDUCTION)]])</f>
        <v>91958.42</v>
      </c>
    </row>
    <row r="466" spans="1:8" x14ac:dyDescent="0.25">
      <c r="A466" t="str">
        <f>"060624"</f>
        <v>060624</v>
      </c>
      <c r="B466" t="s">
        <v>362</v>
      </c>
      <c r="C466">
        <v>217</v>
      </c>
      <c r="D466" s="6">
        <v>92754.31</v>
      </c>
      <c r="E466" s="6">
        <v>30608.92</v>
      </c>
      <c r="F466" s="6">
        <v>30608.92</v>
      </c>
      <c r="G466" s="6">
        <v>21240.74</v>
      </c>
      <c r="H466" s="6">
        <f>SUM(Table134[[#This Row],[NOVEMBER PAYMENT]:[MAY PAYMENT 
(BUDGET REDUCTION)]])</f>
        <v>82458.58</v>
      </c>
    </row>
    <row r="467" spans="1:8" x14ac:dyDescent="0.25">
      <c r="A467" t="str">
        <f>"060640"</f>
        <v>060640</v>
      </c>
      <c r="B467" t="s">
        <v>363</v>
      </c>
      <c r="C467">
        <v>130</v>
      </c>
      <c r="D467" s="6">
        <v>55567.1</v>
      </c>
      <c r="E467" s="6">
        <v>18337.14</v>
      </c>
      <c r="F467" s="6">
        <v>18337.150000000001</v>
      </c>
      <c r="G467" s="6">
        <v>12724.86</v>
      </c>
      <c r="H467" s="6">
        <f>SUM(Table134[[#This Row],[NOVEMBER PAYMENT]:[MAY PAYMENT 
(BUDGET REDUCTION)]])</f>
        <v>49399.15</v>
      </c>
    </row>
    <row r="468" spans="1:8" x14ac:dyDescent="0.25">
      <c r="A468" t="str">
        <f>"060657"</f>
        <v>060657</v>
      </c>
      <c r="B468" t="s">
        <v>364</v>
      </c>
      <c r="C468">
        <v>227</v>
      </c>
      <c r="D468" s="6">
        <v>97028.7</v>
      </c>
      <c r="E468" s="6">
        <v>32019.47</v>
      </c>
      <c r="F468" s="6">
        <v>32019.47</v>
      </c>
      <c r="G468" s="6">
        <v>22219.57</v>
      </c>
      <c r="H468" s="6">
        <f>SUM(Table134[[#This Row],[NOVEMBER PAYMENT]:[MAY PAYMENT 
(BUDGET REDUCTION)]])</f>
        <v>86258.510000000009</v>
      </c>
    </row>
    <row r="469" spans="1:8" x14ac:dyDescent="0.25">
      <c r="A469" t="str">
        <f>"060723"</f>
        <v>060723</v>
      </c>
      <c r="B469" t="s">
        <v>365</v>
      </c>
      <c r="C469">
        <v>508</v>
      </c>
      <c r="D469" s="6">
        <v>217139.12</v>
      </c>
      <c r="E469" s="6">
        <v>71655.91</v>
      </c>
      <c r="F469" s="6">
        <v>71655.91</v>
      </c>
      <c r="G469" s="6">
        <v>49724.86</v>
      </c>
      <c r="H469" s="6">
        <f>SUM(Table134[[#This Row],[NOVEMBER PAYMENT]:[MAY PAYMENT 
(BUDGET REDUCTION)]])</f>
        <v>193036.68</v>
      </c>
    </row>
    <row r="470" spans="1:8" x14ac:dyDescent="0.25">
      <c r="A470" t="str">
        <f>"060764"</f>
        <v>060764</v>
      </c>
      <c r="B470" t="s">
        <v>366</v>
      </c>
      <c r="C470">
        <v>512</v>
      </c>
      <c r="D470" s="6">
        <v>218848.88</v>
      </c>
      <c r="E470" s="6">
        <v>72220.13</v>
      </c>
      <c r="F470" s="6">
        <v>72220.13</v>
      </c>
      <c r="G470" s="6">
        <v>50116.39</v>
      </c>
      <c r="H470" s="6">
        <f>SUM(Table134[[#This Row],[NOVEMBER PAYMENT]:[MAY PAYMENT 
(BUDGET REDUCTION)]])</f>
        <v>194556.65000000002</v>
      </c>
    </row>
    <row r="471" spans="1:8" x14ac:dyDescent="0.25">
      <c r="A471" t="str">
        <f>"060806"</f>
        <v>060806</v>
      </c>
      <c r="B471" t="s">
        <v>367</v>
      </c>
      <c r="C471">
        <v>524</v>
      </c>
      <c r="D471" s="6">
        <v>223978.15</v>
      </c>
      <c r="E471" s="6">
        <v>73912.789999999994</v>
      </c>
      <c r="F471" s="6">
        <v>73912.789999999994</v>
      </c>
      <c r="G471" s="6">
        <v>51291</v>
      </c>
      <c r="H471" s="6">
        <f>SUM(Table134[[#This Row],[NOVEMBER PAYMENT]:[MAY PAYMENT 
(BUDGET REDUCTION)]])</f>
        <v>199116.58</v>
      </c>
    </row>
    <row r="472" spans="1:8" x14ac:dyDescent="0.25">
      <c r="A472" t="str">
        <f>"060848"</f>
        <v>060848</v>
      </c>
      <c r="B472" t="s">
        <v>368</v>
      </c>
      <c r="C472">
        <v>387</v>
      </c>
      <c r="D472" s="6">
        <v>165418.98000000001</v>
      </c>
      <c r="E472" s="6">
        <v>54588.26</v>
      </c>
      <c r="F472" s="6">
        <v>54588.27</v>
      </c>
      <c r="G472" s="6">
        <v>37880.94</v>
      </c>
      <c r="H472" s="6">
        <f>SUM(Table134[[#This Row],[NOVEMBER PAYMENT]:[MAY PAYMENT 
(BUDGET REDUCTION)]])</f>
        <v>147057.47</v>
      </c>
    </row>
    <row r="473" spans="1:8" x14ac:dyDescent="0.25">
      <c r="A473" t="str">
        <f>"060863"</f>
        <v>060863</v>
      </c>
      <c r="B473" t="s">
        <v>369</v>
      </c>
      <c r="C473">
        <v>56</v>
      </c>
      <c r="D473" s="6">
        <v>23936.6</v>
      </c>
      <c r="E473" s="6">
        <v>7899.08</v>
      </c>
      <c r="F473" s="6">
        <v>7899.08</v>
      </c>
      <c r="G473" s="6">
        <v>5481.48</v>
      </c>
      <c r="H473" s="6">
        <f>SUM(Table134[[#This Row],[NOVEMBER PAYMENT]:[MAY PAYMENT 
(BUDGET REDUCTION)]])</f>
        <v>21279.64</v>
      </c>
    </row>
    <row r="474" spans="1:8" x14ac:dyDescent="0.25">
      <c r="A474" t="str">
        <f>"060889"</f>
        <v>060889</v>
      </c>
      <c r="B474" t="s">
        <v>370</v>
      </c>
      <c r="C474">
        <v>39</v>
      </c>
      <c r="D474" s="6">
        <v>16670.13</v>
      </c>
      <c r="E474" s="6">
        <v>5501.14</v>
      </c>
      <c r="F474" s="6">
        <v>5501.1500000000005</v>
      </c>
      <c r="G474" s="6">
        <v>3817.46</v>
      </c>
      <c r="H474" s="6">
        <f>SUM(Table134[[#This Row],[NOVEMBER PAYMENT]:[MAY PAYMENT 
(BUDGET REDUCTION)]])</f>
        <v>14819.75</v>
      </c>
    </row>
    <row r="475" spans="1:8" x14ac:dyDescent="0.25">
      <c r="A475" t="str">
        <f>"060905"</f>
        <v>060905</v>
      </c>
      <c r="B475" t="s">
        <v>371</v>
      </c>
      <c r="C475">
        <v>403</v>
      </c>
      <c r="D475" s="6">
        <v>172258.01</v>
      </c>
      <c r="E475" s="6">
        <v>56845.14</v>
      </c>
      <c r="F475" s="6">
        <v>56845.149999999994</v>
      </c>
      <c r="G475" s="6">
        <v>39447.08</v>
      </c>
      <c r="H475" s="6">
        <f>SUM(Table134[[#This Row],[NOVEMBER PAYMENT]:[MAY PAYMENT 
(BUDGET REDUCTION)]])</f>
        <v>153137.37</v>
      </c>
    </row>
    <row r="476" spans="1:8" x14ac:dyDescent="0.25">
      <c r="A476" t="str">
        <f>"060921"</f>
        <v>060921</v>
      </c>
      <c r="B476" t="s">
        <v>356</v>
      </c>
      <c r="C476">
        <v>75</v>
      </c>
      <c r="D476" s="6">
        <v>32057.94</v>
      </c>
      <c r="E476" s="6">
        <v>10579.12</v>
      </c>
      <c r="F476" s="6">
        <v>10579.12</v>
      </c>
      <c r="G476" s="6">
        <v>7341.27</v>
      </c>
      <c r="H476" s="6">
        <f>SUM(Table134[[#This Row],[NOVEMBER PAYMENT]:[MAY PAYMENT 
(BUDGET REDUCTION)]])</f>
        <v>28499.510000000002</v>
      </c>
    </row>
    <row r="477" spans="1:8" x14ac:dyDescent="0.25">
      <c r="A477" t="str">
        <f>"060947"</f>
        <v>060947</v>
      </c>
      <c r="B477" t="s">
        <v>372</v>
      </c>
      <c r="C477">
        <v>155</v>
      </c>
      <c r="D477" s="6">
        <v>66253.08</v>
      </c>
      <c r="E477" s="6">
        <v>21863.52</v>
      </c>
      <c r="F477" s="6">
        <v>21863.51</v>
      </c>
      <c r="G477" s="6">
        <v>15171.96</v>
      </c>
      <c r="H477" s="6">
        <f>SUM(Table134[[#This Row],[NOVEMBER PAYMENT]:[MAY PAYMENT 
(BUDGET REDUCTION)]])</f>
        <v>58898.99</v>
      </c>
    </row>
    <row r="478" spans="1:8" x14ac:dyDescent="0.25">
      <c r="A478" t="str">
        <f>"060954"</f>
        <v>060954</v>
      </c>
      <c r="B478" t="s">
        <v>335</v>
      </c>
      <c r="C478">
        <v>412</v>
      </c>
      <c r="D478" s="6">
        <v>176104.95999999999</v>
      </c>
      <c r="E478" s="6">
        <v>58114.64</v>
      </c>
      <c r="F478" s="6">
        <v>58114.630000000005</v>
      </c>
      <c r="G478" s="6">
        <v>40328.04</v>
      </c>
      <c r="H478" s="6">
        <f>SUM(Table134[[#This Row],[NOVEMBER PAYMENT]:[MAY PAYMENT 
(BUDGET REDUCTION)]])</f>
        <v>156557.31</v>
      </c>
    </row>
    <row r="479" spans="1:8" x14ac:dyDescent="0.25">
      <c r="A479" t="str">
        <f>"060962"</f>
        <v>060962</v>
      </c>
      <c r="B479" t="s">
        <v>373</v>
      </c>
      <c r="C479">
        <v>346</v>
      </c>
      <c r="D479" s="6">
        <v>147893.97</v>
      </c>
      <c r="E479" s="6">
        <v>48805.01</v>
      </c>
      <c r="F479" s="6">
        <v>48805.01</v>
      </c>
      <c r="G479" s="6">
        <v>33867.72</v>
      </c>
      <c r="H479" s="6">
        <f>SUM(Table134[[#This Row],[NOVEMBER PAYMENT]:[MAY PAYMENT 
(BUDGET REDUCTION)]])</f>
        <v>131477.74</v>
      </c>
    </row>
    <row r="480" spans="1:8" x14ac:dyDescent="0.25">
      <c r="A480" t="str">
        <f>"062463"</f>
        <v>062463</v>
      </c>
      <c r="B480" t="s">
        <v>374</v>
      </c>
      <c r="C480">
        <v>10</v>
      </c>
      <c r="D480" s="6">
        <v>4274.3900000000003</v>
      </c>
      <c r="E480" s="6">
        <v>1410.55</v>
      </c>
      <c r="F480" s="6">
        <v>1410.55</v>
      </c>
      <c r="G480" s="6">
        <v>978.83</v>
      </c>
      <c r="H480" s="6">
        <f>SUM(Table134[[#This Row],[NOVEMBER PAYMENT]:[MAY PAYMENT 
(BUDGET REDUCTION)]])</f>
        <v>3799.93</v>
      </c>
    </row>
    <row r="481" spans="1:8" x14ac:dyDescent="0.25">
      <c r="A481" t="str">
        <f>"062471"</f>
        <v>062471</v>
      </c>
      <c r="B481" t="s">
        <v>375</v>
      </c>
      <c r="C481">
        <v>426</v>
      </c>
      <c r="D481" s="6">
        <v>182089.11</v>
      </c>
      <c r="E481" s="6">
        <v>60089.41</v>
      </c>
      <c r="F481" s="6">
        <v>60089.399999999994</v>
      </c>
      <c r="G481" s="6">
        <v>41698.410000000003</v>
      </c>
      <c r="H481" s="6">
        <f>SUM(Table134[[#This Row],[NOVEMBER PAYMENT]:[MAY PAYMENT 
(BUDGET REDUCTION)]])</f>
        <v>161877.22</v>
      </c>
    </row>
    <row r="482" spans="1:8" x14ac:dyDescent="0.25">
      <c r="A482" t="str">
        <f>"062489"</f>
        <v>062489</v>
      </c>
      <c r="B482" t="s">
        <v>376</v>
      </c>
      <c r="C482">
        <v>987</v>
      </c>
      <c r="D482" s="6">
        <v>421882.51</v>
      </c>
      <c r="E482" s="6">
        <v>139221.23000000001</v>
      </c>
      <c r="F482" s="6">
        <v>139221.23000000001</v>
      </c>
      <c r="G482" s="6">
        <v>96611.09</v>
      </c>
      <c r="H482" s="6">
        <f>SUM(Table134[[#This Row],[NOVEMBER PAYMENT]:[MAY PAYMENT 
(BUDGET REDUCTION)]])</f>
        <v>375053.55000000005</v>
      </c>
    </row>
    <row r="483" spans="1:8" x14ac:dyDescent="0.25">
      <c r="A483" t="str">
        <f>"062497"</f>
        <v>062497</v>
      </c>
      <c r="B483" t="s">
        <v>358</v>
      </c>
      <c r="C483">
        <v>180</v>
      </c>
      <c r="D483" s="6">
        <v>71692.53</v>
      </c>
      <c r="E483" s="6">
        <v>23658.53</v>
      </c>
      <c r="F483" s="6">
        <v>23658.54</v>
      </c>
      <c r="G483" s="6">
        <v>16417.59</v>
      </c>
      <c r="H483" s="6">
        <f>SUM(Table134[[#This Row],[NOVEMBER PAYMENT]:[MAY PAYMENT 
(BUDGET REDUCTION)]])</f>
        <v>63734.66</v>
      </c>
    </row>
    <row r="484" spans="1:8" x14ac:dyDescent="0.25">
      <c r="A484" t="str">
        <f>"062521"</f>
        <v>062521</v>
      </c>
      <c r="B484" t="s">
        <v>377</v>
      </c>
      <c r="C484">
        <v>32</v>
      </c>
      <c r="D484" s="6">
        <v>13678.06</v>
      </c>
      <c r="E484" s="6">
        <v>4513.76</v>
      </c>
      <c r="F484" s="6">
        <v>4513.76</v>
      </c>
      <c r="G484" s="6">
        <v>3132.28</v>
      </c>
      <c r="H484" s="6">
        <f>SUM(Table134[[#This Row],[NOVEMBER PAYMENT]:[MAY PAYMENT 
(BUDGET REDUCTION)]])</f>
        <v>12159.800000000001</v>
      </c>
    </row>
    <row r="485" spans="1:8" x14ac:dyDescent="0.25">
      <c r="A485" t="str">
        <f>"062562"</f>
        <v>062562</v>
      </c>
      <c r="B485" t="s">
        <v>378</v>
      </c>
      <c r="C485">
        <v>502</v>
      </c>
      <c r="D485" s="6">
        <v>214574.49</v>
      </c>
      <c r="E485" s="6">
        <v>70809.58</v>
      </c>
      <c r="F485" s="6">
        <v>70809.58</v>
      </c>
      <c r="G485" s="6">
        <v>49137.56</v>
      </c>
      <c r="H485" s="6">
        <f>SUM(Table134[[#This Row],[NOVEMBER PAYMENT]:[MAY PAYMENT 
(BUDGET REDUCTION)]])</f>
        <v>190756.72</v>
      </c>
    </row>
    <row r="486" spans="1:8" x14ac:dyDescent="0.25">
      <c r="A486" t="str">
        <f>"062604"</f>
        <v>062604</v>
      </c>
      <c r="B486" t="s">
        <v>379</v>
      </c>
      <c r="C486">
        <v>115</v>
      </c>
      <c r="D486" s="6">
        <v>49155.51</v>
      </c>
      <c r="E486" s="6">
        <v>16221.32</v>
      </c>
      <c r="F486" s="6">
        <v>16221.32</v>
      </c>
      <c r="G486" s="6">
        <v>11256.61</v>
      </c>
      <c r="H486" s="6">
        <f>SUM(Table134[[#This Row],[NOVEMBER PAYMENT]:[MAY PAYMENT 
(BUDGET REDUCTION)]])</f>
        <v>43699.25</v>
      </c>
    </row>
    <row r="487" spans="1:8" x14ac:dyDescent="0.25">
      <c r="A487" t="str">
        <f>"062612"</f>
        <v>062612</v>
      </c>
      <c r="B487" t="s">
        <v>380</v>
      </c>
      <c r="C487">
        <v>108</v>
      </c>
      <c r="D487" s="6">
        <v>46163.44</v>
      </c>
      <c r="E487" s="6">
        <v>15233.94</v>
      </c>
      <c r="F487" s="6">
        <v>15233.929999999998</v>
      </c>
      <c r="G487" s="6">
        <v>10571.43</v>
      </c>
      <c r="H487" s="6">
        <f>SUM(Table134[[#This Row],[NOVEMBER PAYMENT]:[MAY PAYMENT 
(BUDGET REDUCTION)]])</f>
        <v>41039.300000000003</v>
      </c>
    </row>
    <row r="488" spans="1:8" x14ac:dyDescent="0.25">
      <c r="A488" t="str">
        <f>"062620"</f>
        <v>062620</v>
      </c>
      <c r="B488" t="s">
        <v>381</v>
      </c>
      <c r="C488">
        <v>215</v>
      </c>
      <c r="D488" s="6">
        <v>91899.43</v>
      </c>
      <c r="E488" s="6">
        <v>30326.81</v>
      </c>
      <c r="F488" s="6">
        <v>30326.81</v>
      </c>
      <c r="G488" s="6">
        <v>21044.97</v>
      </c>
      <c r="H488" s="6">
        <f>SUM(Table134[[#This Row],[NOVEMBER PAYMENT]:[MAY PAYMENT 
(BUDGET REDUCTION)]])</f>
        <v>81698.59</v>
      </c>
    </row>
    <row r="489" spans="1:8" x14ac:dyDescent="0.25">
      <c r="A489" t="str">
        <f>"064394"</f>
        <v>064394</v>
      </c>
      <c r="B489" t="s">
        <v>382</v>
      </c>
      <c r="C489">
        <v>592</v>
      </c>
      <c r="D489" s="6">
        <v>253044.02</v>
      </c>
      <c r="E489" s="6">
        <v>83504.53</v>
      </c>
      <c r="F489" s="6">
        <v>83504.51999999999</v>
      </c>
      <c r="G489" s="6">
        <v>57947.08</v>
      </c>
      <c r="H489" s="6">
        <f>SUM(Table134[[#This Row],[NOVEMBER PAYMENT]:[MAY PAYMENT 
(BUDGET REDUCTION)]])</f>
        <v>224956.13</v>
      </c>
    </row>
    <row r="490" spans="1:8" x14ac:dyDescent="0.25">
      <c r="A490" t="str">
        <f>"064402"</f>
        <v>064402</v>
      </c>
      <c r="B490" t="s">
        <v>383</v>
      </c>
      <c r="C490">
        <v>262</v>
      </c>
      <c r="D490" s="6">
        <v>111989.08</v>
      </c>
      <c r="E490" s="6">
        <v>36956.400000000001</v>
      </c>
      <c r="F490" s="6">
        <v>36956.389999999992</v>
      </c>
      <c r="G490" s="6">
        <v>25645.5</v>
      </c>
      <c r="H490" s="6">
        <f>SUM(Table134[[#This Row],[NOVEMBER PAYMENT]:[MAY PAYMENT 
(BUDGET REDUCTION)]])</f>
        <v>99558.29</v>
      </c>
    </row>
    <row r="491" spans="1:8" x14ac:dyDescent="0.25">
      <c r="A491" t="str">
        <f>"064915"</f>
        <v>064915</v>
      </c>
      <c r="B491" t="s">
        <v>384</v>
      </c>
      <c r="C491">
        <v>611</v>
      </c>
      <c r="D491" s="6">
        <v>261165.36</v>
      </c>
      <c r="E491" s="6">
        <v>86184.57</v>
      </c>
      <c r="F491" s="6">
        <v>86184.57</v>
      </c>
      <c r="G491" s="6">
        <v>59806.87</v>
      </c>
      <c r="H491" s="6">
        <f>SUM(Table134[[#This Row],[NOVEMBER PAYMENT]:[MAY PAYMENT 
(BUDGET REDUCTION)]])</f>
        <v>232176.01</v>
      </c>
    </row>
    <row r="492" spans="1:8" x14ac:dyDescent="0.25">
      <c r="A492" t="str">
        <f>"064923"</f>
        <v>064923</v>
      </c>
      <c r="B492" t="s">
        <v>385</v>
      </c>
      <c r="C492">
        <v>104</v>
      </c>
      <c r="D492" s="6">
        <v>44453.68</v>
      </c>
      <c r="E492" s="6">
        <v>14669.71</v>
      </c>
      <c r="F492" s="6">
        <v>14669.720000000001</v>
      </c>
      <c r="G492" s="6">
        <v>10179.89</v>
      </c>
      <c r="H492" s="6">
        <f>SUM(Table134[[#This Row],[NOVEMBER PAYMENT]:[MAY PAYMENT 
(BUDGET REDUCTION)]])</f>
        <v>39519.32</v>
      </c>
    </row>
    <row r="493" spans="1:8" x14ac:dyDescent="0.25">
      <c r="A493" t="str">
        <f>"064931"</f>
        <v>064931</v>
      </c>
      <c r="B493" t="s">
        <v>386</v>
      </c>
      <c r="C493">
        <v>196</v>
      </c>
      <c r="D493" s="6">
        <v>83778.09</v>
      </c>
      <c r="E493" s="6">
        <v>27646.77</v>
      </c>
      <c r="F493" s="6">
        <v>27646.77</v>
      </c>
      <c r="G493" s="6">
        <v>19185.18</v>
      </c>
      <c r="H493" s="6">
        <f>SUM(Table134[[#This Row],[NOVEMBER PAYMENT]:[MAY PAYMENT 
(BUDGET REDUCTION)]])</f>
        <v>74478.720000000001</v>
      </c>
    </row>
    <row r="494" spans="1:8" x14ac:dyDescent="0.25">
      <c r="A494" t="str">
        <f>"065003"</f>
        <v>065003</v>
      </c>
      <c r="B494" t="s">
        <v>387</v>
      </c>
      <c r="C494">
        <v>159</v>
      </c>
      <c r="D494" s="6">
        <v>67962.84</v>
      </c>
      <c r="E494" s="6">
        <v>22427.74</v>
      </c>
      <c r="F494" s="6">
        <v>22427.73</v>
      </c>
      <c r="G494" s="6">
        <v>15563.49</v>
      </c>
      <c r="H494" s="6">
        <f>SUM(Table134[[#This Row],[NOVEMBER PAYMENT]:[MAY PAYMENT 
(BUDGET REDUCTION)]])</f>
        <v>60418.96</v>
      </c>
    </row>
    <row r="495" spans="1:8" x14ac:dyDescent="0.25">
      <c r="A495" t="str">
        <f>"065722"</f>
        <v>065722</v>
      </c>
      <c r="B495" t="s">
        <v>388</v>
      </c>
      <c r="C495">
        <v>103</v>
      </c>
      <c r="D495" s="6">
        <v>44026.239999999998</v>
      </c>
      <c r="E495" s="6">
        <v>14528.66</v>
      </c>
      <c r="F495" s="6">
        <v>14528.66</v>
      </c>
      <c r="G495" s="6">
        <v>10082.01</v>
      </c>
      <c r="H495" s="6">
        <f>SUM(Table134[[#This Row],[NOVEMBER PAYMENT]:[MAY PAYMENT 
(BUDGET REDUCTION)]])</f>
        <v>39139.33</v>
      </c>
    </row>
    <row r="496" spans="1:8" x14ac:dyDescent="0.25">
      <c r="A496" t="str">
        <f>"065730"</f>
        <v>065730</v>
      </c>
      <c r="B496" t="s">
        <v>389</v>
      </c>
      <c r="C496">
        <v>127</v>
      </c>
      <c r="D496" s="6">
        <v>54284.78</v>
      </c>
      <c r="E496" s="6">
        <v>17913.98</v>
      </c>
      <c r="F496" s="6">
        <v>17913.969999999998</v>
      </c>
      <c r="G496" s="6">
        <v>12431.22</v>
      </c>
      <c r="H496" s="6">
        <f>SUM(Table134[[#This Row],[NOVEMBER PAYMENT]:[MAY PAYMENT 
(BUDGET REDUCTION)]])</f>
        <v>48259.17</v>
      </c>
    </row>
    <row r="497" spans="1:8" x14ac:dyDescent="0.25">
      <c r="A497" t="str">
        <f>"065755"</f>
        <v>065755</v>
      </c>
      <c r="B497" t="s">
        <v>390</v>
      </c>
      <c r="C497">
        <v>310</v>
      </c>
      <c r="D497" s="6">
        <v>132506.16</v>
      </c>
      <c r="E497" s="6">
        <v>43727.03</v>
      </c>
      <c r="F497" s="6">
        <v>43727.040000000008</v>
      </c>
      <c r="G497" s="6">
        <v>30343.91</v>
      </c>
      <c r="H497" s="6">
        <f>SUM(Table134[[#This Row],[NOVEMBER PAYMENT]:[MAY PAYMENT 
(BUDGET REDUCTION)]])</f>
        <v>117797.98000000001</v>
      </c>
    </row>
    <row r="498" spans="1:8" x14ac:dyDescent="0.25">
      <c r="A498" t="str">
        <f>"066555"</f>
        <v>066555</v>
      </c>
      <c r="B498" t="s">
        <v>391</v>
      </c>
      <c r="C498">
        <v>632</v>
      </c>
      <c r="D498" s="6">
        <v>270141.59000000003</v>
      </c>
      <c r="E498" s="6">
        <v>89146.72</v>
      </c>
      <c r="F498" s="6">
        <v>89146.73000000001</v>
      </c>
      <c r="G498" s="6">
        <v>61862.42</v>
      </c>
      <c r="H498" s="6">
        <f>SUM(Table134[[#This Row],[NOVEMBER PAYMENT]:[MAY PAYMENT 
(BUDGET REDUCTION)]])</f>
        <v>240155.87</v>
      </c>
    </row>
    <row r="499" spans="1:8" x14ac:dyDescent="0.25">
      <c r="A499" t="str">
        <f>"067447"</f>
        <v>067447</v>
      </c>
      <c r="B499" t="s">
        <v>392</v>
      </c>
      <c r="C499">
        <v>212</v>
      </c>
      <c r="D499" s="6">
        <v>90617.11</v>
      </c>
      <c r="E499" s="6">
        <v>29903.65</v>
      </c>
      <c r="F499" s="6">
        <v>29903.64</v>
      </c>
      <c r="G499" s="6">
        <v>20751.32</v>
      </c>
      <c r="H499" s="6">
        <f>SUM(Table134[[#This Row],[NOVEMBER PAYMENT]:[MAY PAYMENT 
(BUDGET REDUCTION)]])</f>
        <v>80558.61</v>
      </c>
    </row>
    <row r="500" spans="1:8" x14ac:dyDescent="0.25">
      <c r="A500" t="str">
        <f>"067538"</f>
        <v>067538</v>
      </c>
      <c r="B500" t="s">
        <v>393</v>
      </c>
      <c r="C500">
        <v>285</v>
      </c>
      <c r="D500" s="6">
        <v>121820.18</v>
      </c>
      <c r="E500" s="6">
        <v>40200.660000000003</v>
      </c>
      <c r="F500" s="6">
        <v>40200.660000000003</v>
      </c>
      <c r="G500" s="6">
        <v>27896.82</v>
      </c>
      <c r="H500" s="6">
        <f>SUM(Table134[[#This Row],[NOVEMBER PAYMENT]:[MAY PAYMENT 
(BUDGET REDUCTION)]])</f>
        <v>108298.14000000001</v>
      </c>
    </row>
    <row r="501" spans="1:8" x14ac:dyDescent="0.25">
      <c r="A501" t="str">
        <f>"067546"</f>
        <v>067546</v>
      </c>
      <c r="B501" t="s">
        <v>394</v>
      </c>
      <c r="C501">
        <v>403</v>
      </c>
      <c r="D501" s="6">
        <v>172258.01</v>
      </c>
      <c r="E501" s="6">
        <v>56845.14</v>
      </c>
      <c r="F501" s="6">
        <v>56845.149999999994</v>
      </c>
      <c r="G501" s="6">
        <v>39447.08</v>
      </c>
      <c r="H501" s="6">
        <f>SUM(Table134[[#This Row],[NOVEMBER PAYMENT]:[MAY PAYMENT 
(BUDGET REDUCTION)]])</f>
        <v>153137.37</v>
      </c>
    </row>
    <row r="502" spans="1:8" x14ac:dyDescent="0.25">
      <c r="A502" t="str">
        <f>"067603"</f>
        <v>067603</v>
      </c>
      <c r="B502" t="s">
        <v>395</v>
      </c>
      <c r="C502">
        <v>167</v>
      </c>
      <c r="D502" s="6">
        <v>71382.350000000006</v>
      </c>
      <c r="E502" s="6">
        <v>23556.18</v>
      </c>
      <c r="F502" s="6">
        <v>23556.17</v>
      </c>
      <c r="G502" s="6">
        <v>16346.56</v>
      </c>
      <c r="H502" s="6">
        <f>SUM(Table134[[#This Row],[NOVEMBER PAYMENT]:[MAY PAYMENT 
(BUDGET REDUCTION)]])</f>
        <v>63458.909999999996</v>
      </c>
    </row>
    <row r="503" spans="1:8" x14ac:dyDescent="0.25">
      <c r="A503" t="str">
        <f>"067611"</f>
        <v>067611</v>
      </c>
      <c r="B503" t="s">
        <v>396</v>
      </c>
      <c r="C503">
        <v>833</v>
      </c>
      <c r="D503" s="6">
        <v>356056.87</v>
      </c>
      <c r="E503" s="6">
        <v>117498.77</v>
      </c>
      <c r="F503" s="6">
        <v>117498.76</v>
      </c>
      <c r="G503" s="6">
        <v>81537.03</v>
      </c>
      <c r="H503" s="6">
        <f>SUM(Table134[[#This Row],[NOVEMBER PAYMENT]:[MAY PAYMENT 
(BUDGET REDUCTION)]])</f>
        <v>316534.56</v>
      </c>
    </row>
    <row r="504" spans="1:8" x14ac:dyDescent="0.25">
      <c r="A504" t="str">
        <f>"067629"</f>
        <v>067629</v>
      </c>
      <c r="B504" t="s">
        <v>397</v>
      </c>
      <c r="C504">
        <v>450</v>
      </c>
      <c r="D504" s="6">
        <v>192347.65</v>
      </c>
      <c r="E504" s="6">
        <v>63474.720000000001</v>
      </c>
      <c r="F504" s="6">
        <v>63474.729999999996</v>
      </c>
      <c r="G504" s="6">
        <v>44047.61</v>
      </c>
      <c r="H504" s="6">
        <f>SUM(Table134[[#This Row],[NOVEMBER PAYMENT]:[MAY PAYMENT 
(BUDGET REDUCTION)]])</f>
        <v>170997.06</v>
      </c>
    </row>
    <row r="505" spans="1:8" x14ac:dyDescent="0.25">
      <c r="A505" t="str">
        <f>"067637"</f>
        <v>067637</v>
      </c>
      <c r="B505" t="s">
        <v>398</v>
      </c>
      <c r="C505">
        <v>440</v>
      </c>
      <c r="D505" s="6">
        <v>188073.26</v>
      </c>
      <c r="E505" s="6">
        <v>62064.18</v>
      </c>
      <c r="F505" s="6">
        <v>62064.170000000006</v>
      </c>
      <c r="G505" s="6">
        <v>43068.78</v>
      </c>
      <c r="H505" s="6">
        <f>SUM(Table134[[#This Row],[NOVEMBER PAYMENT]:[MAY PAYMENT 
(BUDGET REDUCTION)]])</f>
        <v>167197.13</v>
      </c>
    </row>
    <row r="506" spans="1:8" x14ac:dyDescent="0.25">
      <c r="A506" t="str">
        <f>"068031"</f>
        <v>068031</v>
      </c>
      <c r="B506" t="s">
        <v>399</v>
      </c>
      <c r="C506">
        <v>215</v>
      </c>
      <c r="D506" s="6">
        <v>91899.43</v>
      </c>
      <c r="E506" s="6">
        <v>30326.81</v>
      </c>
      <c r="F506" s="6">
        <v>30326.81</v>
      </c>
      <c r="G506" s="6">
        <v>21044.97</v>
      </c>
      <c r="H506" s="6">
        <f>SUM(Table134[[#This Row],[NOVEMBER PAYMENT]:[MAY PAYMENT 
(BUDGET REDUCTION)]])</f>
        <v>81698.59</v>
      </c>
    </row>
    <row r="507" spans="1:8" x14ac:dyDescent="0.25">
      <c r="A507" t="str">
        <f>"068056"</f>
        <v>068056</v>
      </c>
      <c r="B507" t="s">
        <v>400</v>
      </c>
      <c r="C507">
        <v>393</v>
      </c>
      <c r="D507" s="6">
        <v>167983.61</v>
      </c>
      <c r="E507" s="6">
        <v>55434.59</v>
      </c>
      <c r="F507" s="6">
        <v>55434.59</v>
      </c>
      <c r="G507" s="6">
        <v>38468.25</v>
      </c>
      <c r="H507" s="6">
        <f>SUM(Table134[[#This Row],[NOVEMBER PAYMENT]:[MAY PAYMENT 
(BUDGET REDUCTION)]])</f>
        <v>149337.43</v>
      </c>
    </row>
    <row r="508" spans="1:8" x14ac:dyDescent="0.25">
      <c r="A508" t="str">
        <f>"068189"</f>
        <v>068189</v>
      </c>
      <c r="B508" t="s">
        <v>401</v>
      </c>
      <c r="C508">
        <v>131</v>
      </c>
      <c r="D508" s="6">
        <v>55994.54</v>
      </c>
      <c r="E508" s="6">
        <v>18478.2</v>
      </c>
      <c r="F508" s="6">
        <v>18478.2</v>
      </c>
      <c r="G508" s="6">
        <v>12822.75</v>
      </c>
      <c r="H508" s="6">
        <f>SUM(Table134[[#This Row],[NOVEMBER PAYMENT]:[MAY PAYMENT 
(BUDGET REDUCTION)]])</f>
        <v>49779.15</v>
      </c>
    </row>
    <row r="509" spans="1:8" x14ac:dyDescent="0.25">
      <c r="A509" t="str">
        <f>"068205"</f>
        <v>068205</v>
      </c>
      <c r="B509" t="s">
        <v>402</v>
      </c>
      <c r="C509">
        <v>288</v>
      </c>
      <c r="D509" s="6">
        <v>123102.5</v>
      </c>
      <c r="E509" s="6">
        <v>40623.83</v>
      </c>
      <c r="F509" s="6">
        <v>40623.819999999992</v>
      </c>
      <c r="G509" s="6">
        <v>28190.47</v>
      </c>
      <c r="H509" s="6">
        <f>SUM(Table134[[#This Row],[NOVEMBER PAYMENT]:[MAY PAYMENT 
(BUDGET REDUCTION)]])</f>
        <v>109438.12</v>
      </c>
    </row>
    <row r="510" spans="1:8" x14ac:dyDescent="0.25">
      <c r="A510" t="str">
        <f>"068338"</f>
        <v>068338</v>
      </c>
      <c r="B510" t="s">
        <v>403</v>
      </c>
      <c r="C510">
        <v>148</v>
      </c>
      <c r="D510" s="6">
        <v>63261</v>
      </c>
      <c r="E510" s="6">
        <v>20876.13</v>
      </c>
      <c r="F510" s="6">
        <v>20876.13</v>
      </c>
      <c r="G510" s="6">
        <v>14486.77</v>
      </c>
      <c r="H510" s="6">
        <f>SUM(Table134[[#This Row],[NOVEMBER PAYMENT]:[MAY PAYMENT 
(BUDGET REDUCTION)]])</f>
        <v>56239.03</v>
      </c>
    </row>
    <row r="511" spans="1:8" x14ac:dyDescent="0.25">
      <c r="A511" t="str">
        <f>"068403"</f>
        <v>068403</v>
      </c>
      <c r="B511" t="s">
        <v>404</v>
      </c>
      <c r="C511">
        <v>708</v>
      </c>
      <c r="D511" s="6">
        <v>302626.96999999997</v>
      </c>
      <c r="E511" s="6">
        <v>99866.9</v>
      </c>
      <c r="F511" s="6">
        <v>99866.9</v>
      </c>
      <c r="G511" s="6">
        <v>69301.58</v>
      </c>
      <c r="H511" s="6">
        <f>SUM(Table134[[#This Row],[NOVEMBER PAYMENT]:[MAY PAYMENT 
(BUDGET REDUCTION)]])</f>
        <v>269035.38</v>
      </c>
    </row>
    <row r="512" spans="1:8" x14ac:dyDescent="0.25">
      <c r="A512" t="str">
        <f>"069906"</f>
        <v>069906</v>
      </c>
      <c r="B512" t="s">
        <v>405</v>
      </c>
      <c r="C512">
        <v>29</v>
      </c>
      <c r="D512" s="6">
        <v>12395.74</v>
      </c>
      <c r="E512" s="6">
        <v>4090.59</v>
      </c>
      <c r="F512" s="6">
        <v>4090.5999999999995</v>
      </c>
      <c r="G512" s="6">
        <v>2838.62</v>
      </c>
      <c r="H512" s="6">
        <f>SUM(Table134[[#This Row],[NOVEMBER PAYMENT]:[MAY PAYMENT 
(BUDGET REDUCTION)]])</f>
        <v>11019.81</v>
      </c>
    </row>
    <row r="513" spans="1:8" x14ac:dyDescent="0.25">
      <c r="A513" t="str">
        <f>"069914"</f>
        <v>069914</v>
      </c>
      <c r="B513" t="s">
        <v>406</v>
      </c>
      <c r="C513">
        <v>84</v>
      </c>
      <c r="D513" s="6">
        <v>35904.89</v>
      </c>
      <c r="E513" s="6">
        <v>11848.61</v>
      </c>
      <c r="F513" s="6">
        <v>11848.619999999999</v>
      </c>
      <c r="G513" s="6">
        <v>8222.2199999999993</v>
      </c>
      <c r="H513" s="6">
        <f>SUM(Table134[[#This Row],[NOVEMBER PAYMENT]:[MAY PAYMENT 
(BUDGET REDUCTION)]])</f>
        <v>31919.449999999997</v>
      </c>
    </row>
    <row r="514" spans="1:8" x14ac:dyDescent="0.25">
      <c r="A514" t="str">
        <f>"070136"</f>
        <v>070136</v>
      </c>
      <c r="B514" t="s">
        <v>407</v>
      </c>
      <c r="C514">
        <v>103</v>
      </c>
      <c r="D514" s="6">
        <v>44026.239999999998</v>
      </c>
      <c r="E514" s="6">
        <v>14528.66</v>
      </c>
      <c r="F514" s="6">
        <v>14528.66</v>
      </c>
      <c r="G514" s="6">
        <v>10082.01</v>
      </c>
      <c r="H514" s="6">
        <f>SUM(Table134[[#This Row],[NOVEMBER PAYMENT]:[MAY PAYMENT 
(BUDGET REDUCTION)]])</f>
        <v>39139.33</v>
      </c>
    </row>
    <row r="515" spans="1:8" x14ac:dyDescent="0.25">
      <c r="A515" t="str">
        <f>"070151"</f>
        <v>070151</v>
      </c>
      <c r="B515" t="s">
        <v>408</v>
      </c>
      <c r="C515">
        <v>91</v>
      </c>
      <c r="D515" s="6">
        <v>38896.97</v>
      </c>
      <c r="E515" s="6">
        <v>12836</v>
      </c>
      <c r="F515" s="6">
        <v>12836</v>
      </c>
      <c r="G515" s="6">
        <v>8907.41</v>
      </c>
      <c r="H515" s="6">
        <f>SUM(Table134[[#This Row],[NOVEMBER PAYMENT]:[MAY PAYMENT 
(BUDGET REDUCTION)]])</f>
        <v>34579.410000000003</v>
      </c>
    </row>
    <row r="516" spans="1:8" x14ac:dyDescent="0.25">
      <c r="A516" t="str">
        <f>"070169"</f>
        <v>070169</v>
      </c>
      <c r="B516" t="s">
        <v>409</v>
      </c>
      <c r="C516">
        <v>59</v>
      </c>
      <c r="D516" s="6">
        <v>23794.48</v>
      </c>
      <c r="E516" s="6">
        <v>7852.18</v>
      </c>
      <c r="F516" s="6">
        <v>7852.18</v>
      </c>
      <c r="G516" s="6">
        <v>5448.93</v>
      </c>
      <c r="H516" s="6">
        <f>SUM(Table134[[#This Row],[NOVEMBER PAYMENT]:[MAY PAYMENT 
(BUDGET REDUCTION)]])</f>
        <v>21153.29</v>
      </c>
    </row>
    <row r="517" spans="1:8" x14ac:dyDescent="0.25">
      <c r="A517" t="str">
        <f>"070243"</f>
        <v>070243</v>
      </c>
      <c r="B517" t="s">
        <v>410</v>
      </c>
      <c r="C517">
        <v>11</v>
      </c>
      <c r="D517" s="6">
        <v>4701.83</v>
      </c>
      <c r="E517" s="6">
        <v>1551.6</v>
      </c>
      <c r="F517" s="6">
        <v>1551.6100000000001</v>
      </c>
      <c r="G517" s="6">
        <v>1076.72</v>
      </c>
      <c r="H517" s="6">
        <f>SUM(Table134[[#This Row],[NOVEMBER PAYMENT]:[MAY PAYMENT 
(BUDGET REDUCTION)]])</f>
        <v>4179.93</v>
      </c>
    </row>
    <row r="518" spans="1:8" x14ac:dyDescent="0.25">
      <c r="A518" t="str">
        <f>"070250"</f>
        <v>070250</v>
      </c>
      <c r="B518" t="s">
        <v>411</v>
      </c>
      <c r="C518">
        <v>8</v>
      </c>
      <c r="D518" s="6">
        <v>3419.51</v>
      </c>
      <c r="E518" s="6">
        <v>1128.44</v>
      </c>
      <c r="F518" s="6">
        <v>1128.44</v>
      </c>
      <c r="G518" s="6">
        <v>783.06</v>
      </c>
      <c r="H518" s="6">
        <f>SUM(Table134[[#This Row],[NOVEMBER PAYMENT]:[MAY PAYMENT 
(BUDGET REDUCTION)]])</f>
        <v>3039.94</v>
      </c>
    </row>
    <row r="519" spans="1:8" x14ac:dyDescent="0.25">
      <c r="A519" t="str">
        <f>"070276"</f>
        <v>070276</v>
      </c>
      <c r="B519" t="s">
        <v>412</v>
      </c>
      <c r="C519">
        <v>65</v>
      </c>
      <c r="D519" s="6">
        <v>27783.55</v>
      </c>
      <c r="E519" s="6">
        <v>9168.57</v>
      </c>
      <c r="F519" s="6">
        <v>9168.57</v>
      </c>
      <c r="G519" s="6">
        <v>6362.44</v>
      </c>
      <c r="H519" s="6">
        <f>SUM(Table134[[#This Row],[NOVEMBER PAYMENT]:[MAY PAYMENT 
(BUDGET REDUCTION)]])</f>
        <v>24699.579999999998</v>
      </c>
    </row>
    <row r="520" spans="1:8" x14ac:dyDescent="0.25">
      <c r="A520" t="str">
        <f>"070409"</f>
        <v>070409</v>
      </c>
      <c r="B520" t="s">
        <v>413</v>
      </c>
      <c r="C520">
        <v>466</v>
      </c>
      <c r="D520" s="6">
        <v>199186.68</v>
      </c>
      <c r="E520" s="6">
        <v>65731.600000000006</v>
      </c>
      <c r="F520" s="6">
        <v>65731.609999999986</v>
      </c>
      <c r="G520" s="6">
        <v>45613.75</v>
      </c>
      <c r="H520" s="6">
        <f>SUM(Table134[[#This Row],[NOVEMBER PAYMENT]:[MAY PAYMENT 
(BUDGET REDUCTION)]])</f>
        <v>177076.96</v>
      </c>
    </row>
    <row r="521" spans="1:8" x14ac:dyDescent="0.25">
      <c r="A521" t="str">
        <f>"070656"</f>
        <v>070656</v>
      </c>
      <c r="B521" t="s">
        <v>414</v>
      </c>
      <c r="C521">
        <v>100</v>
      </c>
      <c r="D521" s="6">
        <v>38840.35</v>
      </c>
      <c r="E521" s="6">
        <v>12817.32</v>
      </c>
      <c r="F521" s="6">
        <v>12817.310000000001</v>
      </c>
      <c r="G521" s="6">
        <v>8894.44</v>
      </c>
      <c r="H521" s="6">
        <f>SUM(Table134[[#This Row],[NOVEMBER PAYMENT]:[MAY PAYMENT 
(BUDGET REDUCTION)]])</f>
        <v>34529.07</v>
      </c>
    </row>
    <row r="522" spans="1:8" x14ac:dyDescent="0.25">
      <c r="A522" t="str">
        <f>"070664"</f>
        <v>070664</v>
      </c>
      <c r="B522" t="s">
        <v>415</v>
      </c>
      <c r="C522">
        <v>292</v>
      </c>
      <c r="D522" s="6">
        <v>124812.25</v>
      </c>
      <c r="E522" s="6">
        <v>41188.04</v>
      </c>
      <c r="F522" s="6">
        <v>41188.049999999996</v>
      </c>
      <c r="G522" s="6">
        <v>28582</v>
      </c>
      <c r="H522" s="6">
        <f>SUM(Table134[[#This Row],[NOVEMBER PAYMENT]:[MAY PAYMENT 
(BUDGET REDUCTION)]])</f>
        <v>110958.09</v>
      </c>
    </row>
    <row r="523" spans="1:8" x14ac:dyDescent="0.25">
      <c r="A523" t="str">
        <f>"070748"</f>
        <v>070748</v>
      </c>
      <c r="B523" t="s">
        <v>416</v>
      </c>
      <c r="C523">
        <v>234</v>
      </c>
      <c r="D523" s="6">
        <v>100020.78</v>
      </c>
      <c r="E523" s="6">
        <v>33006.86</v>
      </c>
      <c r="F523" s="6">
        <v>33006.850000000006</v>
      </c>
      <c r="G523" s="6">
        <v>22904.76</v>
      </c>
      <c r="H523" s="6">
        <f>SUM(Table134[[#This Row],[NOVEMBER PAYMENT]:[MAY PAYMENT 
(BUDGET REDUCTION)]])</f>
        <v>88918.47</v>
      </c>
    </row>
    <row r="524" spans="1:8" x14ac:dyDescent="0.25">
      <c r="A524" t="str">
        <f>"070771"</f>
        <v>070771</v>
      </c>
      <c r="B524" t="s">
        <v>417</v>
      </c>
      <c r="C524">
        <v>248</v>
      </c>
      <c r="D524" s="6">
        <v>106004.93</v>
      </c>
      <c r="E524" s="6">
        <v>34981.629999999997</v>
      </c>
      <c r="F524" s="6">
        <v>34981.620000000003</v>
      </c>
      <c r="G524" s="6">
        <v>24275.13</v>
      </c>
      <c r="H524" s="6">
        <f>SUM(Table134[[#This Row],[NOVEMBER PAYMENT]:[MAY PAYMENT 
(BUDGET REDUCTION)]])</f>
        <v>94238.38</v>
      </c>
    </row>
    <row r="525" spans="1:8" x14ac:dyDescent="0.25">
      <c r="A525" t="str">
        <f>"070789"</f>
        <v>070789</v>
      </c>
      <c r="B525" t="s">
        <v>418</v>
      </c>
      <c r="C525">
        <v>108</v>
      </c>
      <c r="D525" s="6">
        <v>46163.44</v>
      </c>
      <c r="E525" s="6">
        <v>15233.94</v>
      </c>
      <c r="F525" s="6">
        <v>15233.929999999998</v>
      </c>
      <c r="G525" s="6">
        <v>10571.43</v>
      </c>
      <c r="H525" s="6">
        <f>SUM(Table134[[#This Row],[NOVEMBER PAYMENT]:[MAY PAYMENT 
(BUDGET REDUCTION)]])</f>
        <v>41039.300000000003</v>
      </c>
    </row>
    <row r="526" spans="1:8" x14ac:dyDescent="0.25">
      <c r="A526" t="str">
        <f>"070912"</f>
        <v>070912</v>
      </c>
      <c r="B526" t="s">
        <v>419</v>
      </c>
      <c r="C526">
        <v>99</v>
      </c>
      <c r="D526" s="6">
        <v>42316.480000000003</v>
      </c>
      <c r="E526" s="6">
        <v>13964.44</v>
      </c>
      <c r="F526" s="6">
        <v>13964.44</v>
      </c>
      <c r="G526" s="6">
        <v>9690.4699999999993</v>
      </c>
      <c r="H526" s="6">
        <f>SUM(Table134[[#This Row],[NOVEMBER PAYMENT]:[MAY PAYMENT 
(BUDGET REDUCTION)]])</f>
        <v>37619.35</v>
      </c>
    </row>
    <row r="527" spans="1:8" x14ac:dyDescent="0.25">
      <c r="A527" t="str">
        <f>"070961"</f>
        <v>070961</v>
      </c>
      <c r="B527" t="s">
        <v>299</v>
      </c>
      <c r="C527">
        <v>12</v>
      </c>
      <c r="D527" s="6">
        <v>3563.22</v>
      </c>
      <c r="E527" s="6">
        <v>1175.8599999999999</v>
      </c>
      <c r="F527" s="6">
        <v>1175.8700000000001</v>
      </c>
      <c r="G527" s="6">
        <v>815.97</v>
      </c>
      <c r="H527" s="6">
        <f>SUM(Table134[[#This Row],[NOVEMBER PAYMENT]:[MAY PAYMENT 
(BUDGET REDUCTION)]])</f>
        <v>3167.7</v>
      </c>
    </row>
    <row r="528" spans="1:8" x14ac:dyDescent="0.25">
      <c r="A528" t="str">
        <f>"070979"</f>
        <v>070979</v>
      </c>
      <c r="B528" t="s">
        <v>420</v>
      </c>
      <c r="C528">
        <v>124</v>
      </c>
      <c r="D528" s="6">
        <v>53002.46</v>
      </c>
      <c r="E528" s="6">
        <v>17490.810000000001</v>
      </c>
      <c r="F528" s="6">
        <v>17490.810000000001</v>
      </c>
      <c r="G528" s="6">
        <v>12137.57</v>
      </c>
      <c r="H528" s="6">
        <f>SUM(Table134[[#This Row],[NOVEMBER PAYMENT]:[MAY PAYMENT 
(BUDGET REDUCTION)]])</f>
        <v>47119.19</v>
      </c>
    </row>
    <row r="529" spans="1:8" x14ac:dyDescent="0.25">
      <c r="A529" t="str">
        <f>"071001"</f>
        <v>071001</v>
      </c>
      <c r="B529" t="s">
        <v>421</v>
      </c>
      <c r="C529">
        <v>341</v>
      </c>
      <c r="D529" s="6">
        <v>145756.76999999999</v>
      </c>
      <c r="E529" s="6">
        <v>48099.73</v>
      </c>
      <c r="F529" s="6">
        <v>48099.74</v>
      </c>
      <c r="G529" s="6">
        <v>33378.300000000003</v>
      </c>
      <c r="H529" s="6">
        <f>SUM(Table134[[#This Row],[NOVEMBER PAYMENT]:[MAY PAYMENT 
(BUDGET REDUCTION)]])</f>
        <v>129577.77</v>
      </c>
    </row>
    <row r="530" spans="1:8" x14ac:dyDescent="0.25">
      <c r="A530" t="str">
        <f>"071571"</f>
        <v>071571</v>
      </c>
      <c r="B530" t="s">
        <v>422</v>
      </c>
      <c r="C530">
        <v>188</v>
      </c>
      <c r="D530" s="6">
        <v>80358.570000000007</v>
      </c>
      <c r="E530" s="6">
        <v>26518.33</v>
      </c>
      <c r="F530" s="6">
        <v>26518.33</v>
      </c>
      <c r="G530" s="6">
        <v>18402.11</v>
      </c>
      <c r="H530" s="6">
        <f>SUM(Table134[[#This Row],[NOVEMBER PAYMENT]:[MAY PAYMENT 
(BUDGET REDUCTION)]])</f>
        <v>71438.77</v>
      </c>
    </row>
    <row r="531" spans="1:8" x14ac:dyDescent="0.25">
      <c r="A531" t="str">
        <f>"081851"</f>
        <v>081851</v>
      </c>
      <c r="B531" t="s">
        <v>423</v>
      </c>
      <c r="C531">
        <v>509</v>
      </c>
      <c r="D531" s="6">
        <v>217566.56</v>
      </c>
      <c r="E531" s="6">
        <v>71796.960000000006</v>
      </c>
      <c r="F531" s="6">
        <v>71796.969999999987</v>
      </c>
      <c r="G531" s="6">
        <v>49822.74</v>
      </c>
      <c r="H531" s="6">
        <f>SUM(Table134[[#This Row],[NOVEMBER PAYMENT]:[MAY PAYMENT 
(BUDGET REDUCTION)]])</f>
        <v>193416.66999999998</v>
      </c>
    </row>
    <row r="532" spans="1:8" x14ac:dyDescent="0.25">
      <c r="A532" t="str">
        <f>"083295"</f>
        <v>083295</v>
      </c>
      <c r="B532" t="s">
        <v>424</v>
      </c>
      <c r="C532">
        <v>154</v>
      </c>
      <c r="D532" s="6">
        <v>65825.64</v>
      </c>
      <c r="E532" s="6">
        <v>21722.46</v>
      </c>
      <c r="F532" s="6">
        <v>21722.46</v>
      </c>
      <c r="G532" s="6">
        <v>15074.07</v>
      </c>
      <c r="H532" s="6">
        <f>SUM(Table134[[#This Row],[NOVEMBER PAYMENT]:[MAY PAYMENT 
(BUDGET REDUCTION)]])</f>
        <v>58518.99</v>
      </c>
    </row>
    <row r="533" spans="1:8" x14ac:dyDescent="0.25">
      <c r="A533" t="str">
        <f>"083923"</f>
        <v>083923</v>
      </c>
      <c r="B533" t="s">
        <v>425</v>
      </c>
      <c r="C533">
        <v>128</v>
      </c>
      <c r="D533" s="6">
        <v>54648.89</v>
      </c>
      <c r="E533" s="6">
        <v>18034.13</v>
      </c>
      <c r="F533" s="6">
        <v>18034.139999999996</v>
      </c>
      <c r="G533" s="6">
        <v>12514.59</v>
      </c>
      <c r="H533" s="6">
        <f>SUM(Table134[[#This Row],[NOVEMBER PAYMENT]:[MAY PAYMENT 
(BUDGET REDUCTION)]])</f>
        <v>48582.86</v>
      </c>
    </row>
    <row r="534" spans="1:8" x14ac:dyDescent="0.25">
      <c r="A534" t="str">
        <f>"084202"</f>
        <v>084202</v>
      </c>
      <c r="B534" t="s">
        <v>426</v>
      </c>
      <c r="C534">
        <v>379</v>
      </c>
      <c r="D534" s="6">
        <v>161999.46</v>
      </c>
      <c r="E534" s="6">
        <v>53459.82</v>
      </c>
      <c r="F534" s="6">
        <v>53459.82</v>
      </c>
      <c r="G534" s="6">
        <v>37097.879999999997</v>
      </c>
      <c r="H534" s="6">
        <f>SUM(Table134[[#This Row],[NOVEMBER PAYMENT]:[MAY PAYMENT 
(BUDGET REDUCTION)]])</f>
        <v>144017.51999999999</v>
      </c>
    </row>
    <row r="535" spans="1:8" x14ac:dyDescent="0.25">
      <c r="A535" t="str">
        <f>"085688"</f>
        <v>085688</v>
      </c>
      <c r="B535" t="s">
        <v>427</v>
      </c>
      <c r="C535">
        <v>169</v>
      </c>
      <c r="D535" s="6">
        <v>68277.48</v>
      </c>
      <c r="E535" s="6">
        <v>22531.57</v>
      </c>
      <c r="F535" s="6">
        <v>22531.57</v>
      </c>
      <c r="G535" s="6">
        <v>15635.54</v>
      </c>
      <c r="H535" s="6">
        <f>SUM(Table134[[#This Row],[NOVEMBER PAYMENT]:[MAY PAYMENT 
(BUDGET REDUCTION)]])</f>
        <v>60698.68</v>
      </c>
    </row>
    <row r="536" spans="1:8" x14ac:dyDescent="0.25">
      <c r="A536" t="str">
        <f>"086033"</f>
        <v>086033</v>
      </c>
      <c r="B536" t="s">
        <v>428</v>
      </c>
      <c r="C536">
        <v>148</v>
      </c>
      <c r="D536" s="6">
        <v>63261</v>
      </c>
      <c r="E536" s="6">
        <v>20876.13</v>
      </c>
      <c r="F536" s="6">
        <v>20876.13</v>
      </c>
      <c r="G536" s="6">
        <v>14486.77</v>
      </c>
      <c r="H536" s="6">
        <f>SUM(Table134[[#This Row],[NOVEMBER PAYMENT]:[MAY PAYMENT 
(BUDGET REDUCTION)]])</f>
        <v>56239.03</v>
      </c>
    </row>
    <row r="537" spans="1:8" x14ac:dyDescent="0.25">
      <c r="A537" t="str">
        <f>"086389"</f>
        <v>086389</v>
      </c>
      <c r="B537" t="s">
        <v>429</v>
      </c>
      <c r="C537">
        <v>149</v>
      </c>
      <c r="D537" s="6">
        <v>63688.44</v>
      </c>
      <c r="E537" s="6">
        <v>21017.19</v>
      </c>
      <c r="F537" s="6">
        <v>21017.180000000004</v>
      </c>
      <c r="G537" s="6">
        <v>14584.65</v>
      </c>
      <c r="H537" s="6">
        <f>SUM(Table134[[#This Row],[NOVEMBER PAYMENT]:[MAY PAYMENT 
(BUDGET REDUCTION)]])</f>
        <v>56619.020000000004</v>
      </c>
    </row>
    <row r="538" spans="1:8" x14ac:dyDescent="0.25">
      <c r="A538" t="str">
        <f>"086520"</f>
        <v>086520</v>
      </c>
      <c r="B538" t="s">
        <v>430</v>
      </c>
      <c r="C538">
        <v>170</v>
      </c>
      <c r="D538" s="6">
        <v>72664.67</v>
      </c>
      <c r="E538" s="6">
        <v>23979.34</v>
      </c>
      <c r="F538" s="6">
        <v>23979.34</v>
      </c>
      <c r="G538" s="6">
        <v>16640.21</v>
      </c>
      <c r="H538" s="6">
        <f>SUM(Table134[[#This Row],[NOVEMBER PAYMENT]:[MAY PAYMENT 
(BUDGET REDUCTION)]])</f>
        <v>64598.89</v>
      </c>
    </row>
    <row r="539" spans="1:8" x14ac:dyDescent="0.25">
      <c r="A539" t="str">
        <f>"086546"</f>
        <v>086546</v>
      </c>
      <c r="B539" t="s">
        <v>431</v>
      </c>
      <c r="C539">
        <v>104</v>
      </c>
      <c r="D539" s="6">
        <v>44453.68</v>
      </c>
      <c r="E539" s="6">
        <v>14669.71</v>
      </c>
      <c r="F539" s="6">
        <v>14669.720000000001</v>
      </c>
      <c r="G539" s="6">
        <v>10179.89</v>
      </c>
      <c r="H539" s="6">
        <f>SUM(Table134[[#This Row],[NOVEMBER PAYMENT]:[MAY PAYMENT 
(BUDGET REDUCTION)]])</f>
        <v>39519.32</v>
      </c>
    </row>
    <row r="540" spans="1:8" x14ac:dyDescent="0.25">
      <c r="A540" t="str">
        <f>"086678"</f>
        <v>086678</v>
      </c>
      <c r="B540" t="s">
        <v>75</v>
      </c>
      <c r="C540">
        <v>505</v>
      </c>
      <c r="D540" s="6">
        <v>215856.81</v>
      </c>
      <c r="E540" s="6">
        <v>71232.75</v>
      </c>
      <c r="F540" s="6">
        <v>71232.739999999991</v>
      </c>
      <c r="G540" s="6">
        <v>49431.21</v>
      </c>
      <c r="H540" s="6">
        <f>SUM(Table134[[#This Row],[NOVEMBER PAYMENT]:[MAY PAYMENT 
(BUDGET REDUCTION)]])</f>
        <v>191896.69999999998</v>
      </c>
    </row>
    <row r="541" spans="1:8" x14ac:dyDescent="0.25">
      <c r="A541" t="str">
        <f>"087809"</f>
        <v>087809</v>
      </c>
      <c r="B541" t="s">
        <v>432</v>
      </c>
      <c r="C541">
        <v>47</v>
      </c>
      <c r="D541" s="6">
        <v>20089.64</v>
      </c>
      <c r="E541" s="6">
        <v>6629.58</v>
      </c>
      <c r="F541" s="6">
        <v>6629.58</v>
      </c>
      <c r="G541" s="6">
        <v>4600.53</v>
      </c>
      <c r="H541" s="6">
        <f>SUM(Table134[[#This Row],[NOVEMBER PAYMENT]:[MAY PAYMENT 
(BUDGET REDUCTION)]])</f>
        <v>17859.689999999999</v>
      </c>
    </row>
    <row r="542" spans="1:8" x14ac:dyDescent="0.25">
      <c r="A542" t="str">
        <f>"088062"</f>
        <v>088062</v>
      </c>
      <c r="B542" t="s">
        <v>433</v>
      </c>
      <c r="C542">
        <v>305</v>
      </c>
      <c r="D542" s="6">
        <v>130368.96000000001</v>
      </c>
      <c r="E542" s="6">
        <v>43021.760000000002</v>
      </c>
      <c r="F542" s="6">
        <v>43021.749999999993</v>
      </c>
      <c r="G542" s="6">
        <v>29854.5</v>
      </c>
      <c r="H542" s="6">
        <f>SUM(Table134[[#This Row],[NOVEMBER PAYMENT]:[MAY PAYMENT 
(BUDGET REDUCTION)]])</f>
        <v>115898.01</v>
      </c>
    </row>
    <row r="543" spans="1:8" x14ac:dyDescent="0.25">
      <c r="A543" t="str">
        <f>"088070"</f>
        <v>088070</v>
      </c>
      <c r="B543" t="s">
        <v>434</v>
      </c>
      <c r="C543">
        <v>283</v>
      </c>
      <c r="D543" s="6">
        <v>120965.3</v>
      </c>
      <c r="E543" s="6">
        <v>39918.550000000003</v>
      </c>
      <c r="F543" s="6">
        <v>39918.550000000003</v>
      </c>
      <c r="G543" s="6">
        <v>27701.05</v>
      </c>
      <c r="H543" s="6">
        <f>SUM(Table134[[#This Row],[NOVEMBER PAYMENT]:[MAY PAYMENT 
(BUDGET REDUCTION)]])</f>
        <v>107538.15000000001</v>
      </c>
    </row>
    <row r="544" spans="1:8" x14ac:dyDescent="0.25">
      <c r="A544" t="str">
        <f>"088104"</f>
        <v>088104</v>
      </c>
      <c r="B544" t="s">
        <v>435</v>
      </c>
      <c r="C544">
        <v>26</v>
      </c>
      <c r="D544" s="6">
        <v>11113.42</v>
      </c>
      <c r="E544" s="6">
        <v>3667.43</v>
      </c>
      <c r="F544" s="6">
        <v>3667.43</v>
      </c>
      <c r="G544" s="6">
        <v>2544.9699999999998</v>
      </c>
      <c r="H544" s="6">
        <f>SUM(Table134[[#This Row],[NOVEMBER PAYMENT]:[MAY PAYMENT 
(BUDGET REDUCTION)]])</f>
        <v>9879.83</v>
      </c>
    </row>
    <row r="545" spans="1:8" x14ac:dyDescent="0.25">
      <c r="A545" t="str">
        <f>"088112"</f>
        <v>088112</v>
      </c>
      <c r="B545" t="s">
        <v>436</v>
      </c>
      <c r="C545">
        <v>339</v>
      </c>
      <c r="D545" s="6">
        <v>144901.9</v>
      </c>
      <c r="E545" s="6">
        <v>47817.63</v>
      </c>
      <c r="F545" s="6">
        <v>47817.62</v>
      </c>
      <c r="G545" s="6">
        <v>33182.54</v>
      </c>
      <c r="H545" s="6">
        <f>SUM(Table134[[#This Row],[NOVEMBER PAYMENT]:[MAY PAYMENT 
(BUDGET REDUCTION)]])</f>
        <v>128817.79000000001</v>
      </c>
    </row>
    <row r="546" spans="1:8" x14ac:dyDescent="0.25">
      <c r="A546" t="str">
        <f>"088377"</f>
        <v>088377</v>
      </c>
      <c r="B546" t="s">
        <v>437</v>
      </c>
      <c r="C546">
        <v>10</v>
      </c>
      <c r="D546" s="6">
        <v>4274.3900000000003</v>
      </c>
      <c r="E546" s="6">
        <v>1410.55</v>
      </c>
      <c r="F546" s="6">
        <v>1410.55</v>
      </c>
      <c r="G546" s="6">
        <v>978.83</v>
      </c>
      <c r="H546" s="6">
        <f>SUM(Table134[[#This Row],[NOVEMBER PAYMENT]:[MAY PAYMENT 
(BUDGET REDUCTION)]])</f>
        <v>3799.93</v>
      </c>
    </row>
    <row r="547" spans="1:8" x14ac:dyDescent="0.25">
      <c r="A547" t="str">
        <f>"089409"</f>
        <v>089409</v>
      </c>
      <c r="B547" t="s">
        <v>438</v>
      </c>
      <c r="C547">
        <v>62</v>
      </c>
      <c r="D547" s="6">
        <v>26501.23</v>
      </c>
      <c r="E547" s="6">
        <v>8745.41</v>
      </c>
      <c r="F547" s="6">
        <v>8745.4000000000015</v>
      </c>
      <c r="G547" s="6">
        <v>6068.78</v>
      </c>
      <c r="H547" s="6">
        <f>SUM(Table134[[#This Row],[NOVEMBER PAYMENT]:[MAY PAYMENT 
(BUDGET REDUCTION)]])</f>
        <v>23559.59</v>
      </c>
    </row>
    <row r="548" spans="1:8" x14ac:dyDescent="0.25">
      <c r="A548" t="str">
        <f>"089722"</f>
        <v>089722</v>
      </c>
      <c r="B548" t="s">
        <v>439</v>
      </c>
      <c r="C548">
        <v>517</v>
      </c>
      <c r="D548" s="6">
        <v>220986.08</v>
      </c>
      <c r="E548" s="6">
        <v>72925.41</v>
      </c>
      <c r="F548" s="6">
        <v>72925.399999999994</v>
      </c>
      <c r="G548" s="6">
        <v>50605.82</v>
      </c>
      <c r="H548" s="6">
        <f>SUM(Table134[[#This Row],[NOVEMBER PAYMENT]:[MAY PAYMENT 
(BUDGET REDUCTION)]])</f>
        <v>196456.63</v>
      </c>
    </row>
    <row r="549" spans="1:8" x14ac:dyDescent="0.25">
      <c r="A549" t="str">
        <f>"089979"</f>
        <v>089979</v>
      </c>
      <c r="B549" t="s">
        <v>440</v>
      </c>
      <c r="C549">
        <v>203</v>
      </c>
      <c r="D549" s="6">
        <v>86770.16</v>
      </c>
      <c r="E549" s="6">
        <v>28634.15</v>
      </c>
      <c r="F549" s="6">
        <v>28634.159999999996</v>
      </c>
      <c r="G549" s="6">
        <v>19870.36</v>
      </c>
      <c r="H549" s="6">
        <f>SUM(Table134[[#This Row],[NOVEMBER PAYMENT]:[MAY PAYMENT 
(BUDGET REDUCTION)]])</f>
        <v>77138.67</v>
      </c>
    </row>
    <row r="550" spans="1:8" x14ac:dyDescent="0.25">
      <c r="A550" t="str">
        <f>"090209"</f>
        <v>090209</v>
      </c>
      <c r="B550" t="s">
        <v>441</v>
      </c>
      <c r="C550">
        <v>603</v>
      </c>
      <c r="D550" s="6">
        <v>257745.85</v>
      </c>
      <c r="E550" s="6">
        <v>85056.13</v>
      </c>
      <c r="F550" s="6">
        <v>85056.13</v>
      </c>
      <c r="G550" s="6">
        <v>59023.8</v>
      </c>
      <c r="H550" s="6">
        <f>SUM(Table134[[#This Row],[NOVEMBER PAYMENT]:[MAY PAYMENT 
(BUDGET REDUCTION)]])</f>
        <v>229136.06</v>
      </c>
    </row>
    <row r="551" spans="1:8" x14ac:dyDescent="0.25">
      <c r="A551" t="str">
        <f>"090233"</f>
        <v>090233</v>
      </c>
      <c r="B551" t="s">
        <v>442</v>
      </c>
      <c r="C551">
        <v>303</v>
      </c>
      <c r="D551" s="6">
        <v>118713.93</v>
      </c>
      <c r="E551" s="6">
        <v>39175.599999999999</v>
      </c>
      <c r="F551" s="6">
        <v>39175.590000000004</v>
      </c>
      <c r="G551" s="6">
        <v>27185.49</v>
      </c>
      <c r="H551" s="6">
        <f>SUM(Table134[[#This Row],[NOVEMBER PAYMENT]:[MAY PAYMENT 
(BUDGET REDUCTION)]])</f>
        <v>105536.68000000001</v>
      </c>
    </row>
    <row r="552" spans="1:8" x14ac:dyDescent="0.25">
      <c r="A552" t="str">
        <f>"090274"</f>
        <v>090274</v>
      </c>
      <c r="B552" t="s">
        <v>443</v>
      </c>
      <c r="C552">
        <v>471</v>
      </c>
      <c r="D552" s="6">
        <v>199978.2</v>
      </c>
      <c r="E552" s="6">
        <v>65992.81</v>
      </c>
      <c r="F552" s="6">
        <v>65992.799999999988</v>
      </c>
      <c r="G552" s="6">
        <v>45795.01</v>
      </c>
      <c r="H552" s="6">
        <f>SUM(Table134[[#This Row],[NOVEMBER PAYMENT]:[MAY PAYMENT 
(BUDGET REDUCTION)]])</f>
        <v>177780.62</v>
      </c>
    </row>
    <row r="553" spans="1:8" x14ac:dyDescent="0.25">
      <c r="A553" t="str">
        <f>"090290"</f>
        <v>090290</v>
      </c>
      <c r="B553" t="s">
        <v>444</v>
      </c>
      <c r="C553">
        <v>281</v>
      </c>
      <c r="D553" s="6">
        <v>120110.42</v>
      </c>
      <c r="E553" s="6">
        <v>39636.44</v>
      </c>
      <c r="F553" s="6">
        <v>39636.44</v>
      </c>
      <c r="G553" s="6">
        <v>27505.279999999999</v>
      </c>
      <c r="H553" s="6">
        <f>SUM(Table134[[#This Row],[NOVEMBER PAYMENT]:[MAY PAYMENT 
(BUDGET REDUCTION)]])</f>
        <v>106778.16</v>
      </c>
    </row>
    <row r="554" spans="1:8" x14ac:dyDescent="0.25">
      <c r="A554" t="str">
        <f>"090456"</f>
        <v>090456</v>
      </c>
      <c r="B554" t="s">
        <v>445</v>
      </c>
      <c r="C554">
        <v>127</v>
      </c>
      <c r="D554" s="6">
        <v>54284.78</v>
      </c>
      <c r="E554" s="6">
        <v>17913.98</v>
      </c>
      <c r="F554" s="6">
        <v>17913.969999999998</v>
      </c>
      <c r="G554" s="6">
        <v>12431.22</v>
      </c>
      <c r="H554" s="6">
        <f>SUM(Table134[[#This Row],[NOVEMBER PAYMENT]:[MAY PAYMENT 
(BUDGET REDUCTION)]])</f>
        <v>48259.17</v>
      </c>
    </row>
    <row r="555" spans="1:8" x14ac:dyDescent="0.25">
      <c r="A555" t="str">
        <f>"090464"</f>
        <v>090464</v>
      </c>
      <c r="B555" t="s">
        <v>446</v>
      </c>
      <c r="C555">
        <v>158</v>
      </c>
      <c r="D555" s="6">
        <v>67535.399999999994</v>
      </c>
      <c r="E555" s="6">
        <v>22286.68</v>
      </c>
      <c r="F555" s="6">
        <v>22286.68</v>
      </c>
      <c r="G555" s="6">
        <v>15465.61</v>
      </c>
      <c r="H555" s="6">
        <f>SUM(Table134[[#This Row],[NOVEMBER PAYMENT]:[MAY PAYMENT 
(BUDGET REDUCTION)]])</f>
        <v>60038.97</v>
      </c>
    </row>
    <row r="556" spans="1:8" x14ac:dyDescent="0.25">
      <c r="A556" t="str">
        <f>"090472"</f>
        <v>090472</v>
      </c>
      <c r="B556" t="s">
        <v>447</v>
      </c>
      <c r="C556">
        <v>134</v>
      </c>
      <c r="D556" s="6">
        <v>57276.86</v>
      </c>
      <c r="E556" s="6">
        <v>18901.36</v>
      </c>
      <c r="F556" s="6">
        <v>18901.370000000003</v>
      </c>
      <c r="G556" s="6">
        <v>13116.4</v>
      </c>
      <c r="H556" s="6">
        <f>SUM(Table134[[#This Row],[NOVEMBER PAYMENT]:[MAY PAYMENT 
(BUDGET REDUCTION)]])</f>
        <v>50919.130000000005</v>
      </c>
    </row>
    <row r="557" spans="1:8" x14ac:dyDescent="0.25">
      <c r="A557" t="str">
        <f>"090746"</f>
        <v>090746</v>
      </c>
      <c r="B557" t="s">
        <v>448</v>
      </c>
      <c r="C557">
        <v>112</v>
      </c>
      <c r="D557" s="6">
        <v>47873.19</v>
      </c>
      <c r="E557" s="6">
        <v>15798.15</v>
      </c>
      <c r="F557" s="6">
        <v>15798.160000000002</v>
      </c>
      <c r="G557" s="6">
        <v>10962.96</v>
      </c>
      <c r="H557" s="6">
        <f>SUM(Table134[[#This Row],[NOVEMBER PAYMENT]:[MAY PAYMENT 
(BUDGET REDUCTION)]])</f>
        <v>42559.270000000004</v>
      </c>
    </row>
    <row r="558" spans="1:8" x14ac:dyDescent="0.25">
      <c r="A558" t="str">
        <f>"091314"</f>
        <v>091314</v>
      </c>
      <c r="B558" t="s">
        <v>449</v>
      </c>
      <c r="C558">
        <v>27</v>
      </c>
      <c r="D558" s="6">
        <v>11540.86</v>
      </c>
      <c r="E558" s="6">
        <v>3808.48</v>
      </c>
      <c r="F558" s="6">
        <v>3808.4900000000002</v>
      </c>
      <c r="G558" s="6">
        <v>2642.85</v>
      </c>
      <c r="H558" s="6">
        <f>SUM(Table134[[#This Row],[NOVEMBER PAYMENT]:[MAY PAYMENT 
(BUDGET REDUCTION)]])</f>
        <v>10259.82</v>
      </c>
    </row>
    <row r="559" spans="1:8" x14ac:dyDescent="0.25">
      <c r="A559" t="str">
        <f>"091777"</f>
        <v>091777</v>
      </c>
      <c r="B559" t="s">
        <v>450</v>
      </c>
      <c r="C559">
        <v>202</v>
      </c>
      <c r="D559" s="6">
        <v>86342.720000000001</v>
      </c>
      <c r="E559" s="6">
        <v>28493.1</v>
      </c>
      <c r="F559" s="6">
        <v>28493.1</v>
      </c>
      <c r="G559" s="6">
        <v>19772.48</v>
      </c>
      <c r="H559" s="6">
        <f>SUM(Table134[[#This Row],[NOVEMBER PAYMENT]:[MAY PAYMENT 
(BUDGET REDUCTION)]])</f>
        <v>76758.679999999993</v>
      </c>
    </row>
    <row r="560" spans="1:8" x14ac:dyDescent="0.25">
      <c r="A560" t="str">
        <f>"092247"</f>
        <v>092247</v>
      </c>
      <c r="B560" t="s">
        <v>451</v>
      </c>
      <c r="C560">
        <v>100</v>
      </c>
      <c r="D560" s="6">
        <v>42743.92</v>
      </c>
      <c r="E560" s="6">
        <v>14105.49</v>
      </c>
      <c r="F560" s="6">
        <v>14105.500000000002</v>
      </c>
      <c r="G560" s="6">
        <v>9788.35</v>
      </c>
      <c r="H560" s="6">
        <f>SUM(Table134[[#This Row],[NOVEMBER PAYMENT]:[MAY PAYMENT 
(BUDGET REDUCTION)]])</f>
        <v>37999.340000000004</v>
      </c>
    </row>
    <row r="561" spans="1:8" x14ac:dyDescent="0.25">
      <c r="A561" t="str">
        <f>"093021"</f>
        <v>093021</v>
      </c>
      <c r="B561" t="s">
        <v>452</v>
      </c>
      <c r="C561">
        <v>45</v>
      </c>
      <c r="D561" s="6">
        <v>19234.759999999998</v>
      </c>
      <c r="E561" s="6">
        <v>6347.47</v>
      </c>
      <c r="F561" s="6">
        <v>6347.47</v>
      </c>
      <c r="G561" s="6">
        <v>4404.76</v>
      </c>
      <c r="H561" s="6">
        <f>SUM(Table134[[#This Row],[NOVEMBER PAYMENT]:[MAY PAYMENT 
(BUDGET REDUCTION)]])</f>
        <v>17099.7</v>
      </c>
    </row>
    <row r="562" spans="1:8" x14ac:dyDescent="0.25">
      <c r="A562" t="str">
        <f>"093039"</f>
        <v>093039</v>
      </c>
      <c r="B562" t="s">
        <v>453</v>
      </c>
      <c r="C562">
        <v>98</v>
      </c>
      <c r="D562" s="6">
        <v>41889.040000000001</v>
      </c>
      <c r="E562" s="6">
        <v>13823.38</v>
      </c>
      <c r="F562" s="6">
        <v>13823.390000000001</v>
      </c>
      <c r="G562" s="6">
        <v>9592.59</v>
      </c>
      <c r="H562" s="6">
        <f>SUM(Table134[[#This Row],[NOVEMBER PAYMENT]:[MAY PAYMENT 
(BUDGET REDUCTION)]])</f>
        <v>37239.360000000001</v>
      </c>
    </row>
    <row r="563" spans="1:8" x14ac:dyDescent="0.25">
      <c r="A563" t="str">
        <f>"093757"</f>
        <v>093757</v>
      </c>
      <c r="B563" t="s">
        <v>454</v>
      </c>
      <c r="C563">
        <v>384</v>
      </c>
      <c r="D563" s="6">
        <v>164136.66</v>
      </c>
      <c r="E563" s="6">
        <v>54165.1</v>
      </c>
      <c r="F563" s="6">
        <v>54165.1</v>
      </c>
      <c r="G563" s="6">
        <v>37587.29</v>
      </c>
      <c r="H563" s="6">
        <f>SUM(Table134[[#This Row],[NOVEMBER PAYMENT]:[MAY PAYMENT 
(BUDGET REDUCTION)]])</f>
        <v>145917.49</v>
      </c>
    </row>
    <row r="564" spans="1:8" x14ac:dyDescent="0.25">
      <c r="A564" t="str">
        <f>"093864"</f>
        <v>093864</v>
      </c>
      <c r="B564" t="s">
        <v>455</v>
      </c>
      <c r="C564">
        <v>12</v>
      </c>
      <c r="D564" s="6">
        <v>5129.2700000000004</v>
      </c>
      <c r="E564" s="6">
        <v>1692.66</v>
      </c>
      <c r="F564" s="6">
        <v>1692.66</v>
      </c>
      <c r="G564" s="6">
        <v>1174.5999999999999</v>
      </c>
      <c r="H564" s="6">
        <f>SUM(Table134[[#This Row],[NOVEMBER PAYMENT]:[MAY PAYMENT 
(BUDGET REDUCTION)]])</f>
        <v>4559.92</v>
      </c>
    </row>
    <row r="565" spans="1:8" x14ac:dyDescent="0.25">
      <c r="A565" t="str">
        <f>"094250"</f>
        <v>094250</v>
      </c>
      <c r="B565" t="s">
        <v>456</v>
      </c>
      <c r="C565">
        <v>112</v>
      </c>
      <c r="D565" s="6">
        <v>47873.19</v>
      </c>
      <c r="E565" s="6">
        <v>15798.15</v>
      </c>
      <c r="F565" s="6">
        <v>15798.160000000002</v>
      </c>
      <c r="G565" s="6">
        <v>10962.96</v>
      </c>
      <c r="H565" s="6">
        <f>SUM(Table134[[#This Row],[NOVEMBER PAYMENT]:[MAY PAYMENT 
(BUDGET REDUCTION)]])</f>
        <v>42559.270000000004</v>
      </c>
    </row>
    <row r="566" spans="1:8" x14ac:dyDescent="0.25">
      <c r="A566" t="str">
        <f>"094268"</f>
        <v>094268</v>
      </c>
      <c r="B566" t="s">
        <v>82</v>
      </c>
      <c r="C566">
        <v>115</v>
      </c>
      <c r="D566" s="6">
        <v>49155.51</v>
      </c>
      <c r="E566" s="6">
        <v>16221.32</v>
      </c>
      <c r="F566" s="6">
        <v>16221.32</v>
      </c>
      <c r="G566" s="6">
        <v>11256.61</v>
      </c>
      <c r="H566" s="6">
        <f>SUM(Table134[[#This Row],[NOVEMBER PAYMENT]:[MAY PAYMENT 
(BUDGET REDUCTION)]])</f>
        <v>43699.25</v>
      </c>
    </row>
    <row r="567" spans="1:8" x14ac:dyDescent="0.25">
      <c r="A567" t="str">
        <f>"094490"</f>
        <v>094490</v>
      </c>
      <c r="B567" t="s">
        <v>457</v>
      </c>
      <c r="C567">
        <v>79</v>
      </c>
      <c r="D567" s="6">
        <v>33767.699999999997</v>
      </c>
      <c r="E567" s="6">
        <v>11143.34</v>
      </c>
      <c r="F567" s="6">
        <v>11143.34</v>
      </c>
      <c r="G567" s="6">
        <v>7732.81</v>
      </c>
      <c r="H567" s="6">
        <f>SUM(Table134[[#This Row],[NOVEMBER PAYMENT]:[MAY PAYMENT 
(BUDGET REDUCTION)]])</f>
        <v>30019.49</v>
      </c>
    </row>
    <row r="568" spans="1:8" x14ac:dyDescent="0.25">
      <c r="A568" t="str">
        <f>"094565"</f>
        <v>094565</v>
      </c>
      <c r="B568" t="s">
        <v>458</v>
      </c>
      <c r="C568">
        <v>108</v>
      </c>
      <c r="D568" s="6">
        <v>46163.44</v>
      </c>
      <c r="E568" s="6">
        <v>15233.94</v>
      </c>
      <c r="F568" s="6">
        <v>15233.929999999998</v>
      </c>
      <c r="G568" s="6">
        <v>10571.43</v>
      </c>
      <c r="H568" s="6">
        <f>SUM(Table134[[#This Row],[NOVEMBER PAYMENT]:[MAY PAYMENT 
(BUDGET REDUCTION)]])</f>
        <v>41039.300000000003</v>
      </c>
    </row>
    <row r="569" spans="1:8" x14ac:dyDescent="0.25">
      <c r="A569" t="str">
        <f>"094946"</f>
        <v>094946</v>
      </c>
      <c r="B569" t="s">
        <v>459</v>
      </c>
      <c r="C569">
        <v>35</v>
      </c>
      <c r="D569" s="6">
        <v>14960.37</v>
      </c>
      <c r="E569" s="6">
        <v>4936.92</v>
      </c>
      <c r="F569" s="6">
        <v>4936.92</v>
      </c>
      <c r="G569" s="6">
        <v>3425.93</v>
      </c>
      <c r="H569" s="6">
        <f>SUM(Table134[[#This Row],[NOVEMBER PAYMENT]:[MAY PAYMENT 
(BUDGET REDUCTION)]])</f>
        <v>13299.77</v>
      </c>
    </row>
    <row r="570" spans="1:8" x14ac:dyDescent="0.25">
      <c r="A570" t="str">
        <f>"095158"</f>
        <v>095158</v>
      </c>
      <c r="B570" t="s">
        <v>460</v>
      </c>
      <c r="C570">
        <v>59</v>
      </c>
      <c r="D570" s="6">
        <v>25218.91</v>
      </c>
      <c r="E570" s="6">
        <v>8322.24</v>
      </c>
      <c r="F570" s="6">
        <v>8322.24</v>
      </c>
      <c r="G570" s="6">
        <v>5775.13</v>
      </c>
      <c r="H570" s="6">
        <f>SUM(Table134[[#This Row],[NOVEMBER PAYMENT]:[MAY PAYMENT 
(BUDGET REDUCTION)]])</f>
        <v>22419.61</v>
      </c>
    </row>
    <row r="571" spans="1:8" x14ac:dyDescent="0.25">
      <c r="A571" t="str">
        <f>"095166"</f>
        <v>095166</v>
      </c>
      <c r="B571" t="s">
        <v>461</v>
      </c>
      <c r="C571">
        <v>170</v>
      </c>
      <c r="D571" s="6">
        <v>72664.67</v>
      </c>
      <c r="E571" s="6">
        <v>23979.34</v>
      </c>
      <c r="F571" s="6">
        <v>23979.34</v>
      </c>
      <c r="G571" s="6">
        <v>16640.21</v>
      </c>
      <c r="H571" s="6">
        <f>SUM(Table134[[#This Row],[NOVEMBER PAYMENT]:[MAY PAYMENT 
(BUDGET REDUCTION)]])</f>
        <v>64598.89</v>
      </c>
    </row>
    <row r="572" spans="1:8" x14ac:dyDescent="0.25">
      <c r="A572" t="str">
        <f>"095364"</f>
        <v>095364</v>
      </c>
      <c r="B572" t="s">
        <v>462</v>
      </c>
      <c r="C572">
        <v>91</v>
      </c>
      <c r="D572" s="6">
        <v>38896.97</v>
      </c>
      <c r="E572" s="6">
        <v>12836</v>
      </c>
      <c r="F572" s="6">
        <v>12836</v>
      </c>
      <c r="G572" s="6">
        <v>8907.41</v>
      </c>
      <c r="H572" s="6">
        <f>SUM(Table134[[#This Row],[NOVEMBER PAYMENT]:[MAY PAYMENT 
(BUDGET REDUCTION)]])</f>
        <v>34579.410000000003</v>
      </c>
    </row>
    <row r="573" spans="1:8" x14ac:dyDescent="0.25">
      <c r="A573" t="str">
        <f>"095711"</f>
        <v>095711</v>
      </c>
      <c r="B573" t="s">
        <v>463</v>
      </c>
      <c r="C573">
        <v>142</v>
      </c>
      <c r="D573" s="6">
        <v>60696.37</v>
      </c>
      <c r="E573" s="6">
        <v>20029.8</v>
      </c>
      <c r="F573" s="6">
        <v>20029.8</v>
      </c>
      <c r="G573" s="6">
        <v>13899.47</v>
      </c>
      <c r="H573" s="6">
        <f>SUM(Table134[[#This Row],[NOVEMBER PAYMENT]:[MAY PAYMENT 
(BUDGET REDUCTION)]])</f>
        <v>53959.07</v>
      </c>
    </row>
    <row r="574" spans="1:8" x14ac:dyDescent="0.25">
      <c r="A574" t="str">
        <f>"096156"</f>
        <v>096156</v>
      </c>
      <c r="B574" t="s">
        <v>464</v>
      </c>
      <c r="C574">
        <v>15</v>
      </c>
      <c r="D574" s="6">
        <v>6411.59</v>
      </c>
      <c r="E574" s="6">
        <v>2115.8200000000002</v>
      </c>
      <c r="F574" s="6">
        <v>2115.8299999999995</v>
      </c>
      <c r="G574" s="6">
        <v>1468.25</v>
      </c>
      <c r="H574" s="6">
        <f>SUM(Table134[[#This Row],[NOVEMBER PAYMENT]:[MAY PAYMENT 
(BUDGET REDUCTION)]])</f>
        <v>5699.9</v>
      </c>
    </row>
    <row r="575" spans="1:8" x14ac:dyDescent="0.25">
      <c r="A575" t="str">
        <f>"096164"</f>
        <v>096164</v>
      </c>
      <c r="B575" t="s">
        <v>465</v>
      </c>
      <c r="C575">
        <v>26</v>
      </c>
      <c r="D575" s="6">
        <v>5079.04</v>
      </c>
      <c r="E575" s="6">
        <v>1676.08</v>
      </c>
      <c r="F575" s="6">
        <v>1676.0900000000001</v>
      </c>
      <c r="G575" s="6">
        <v>1163.0999999999999</v>
      </c>
      <c r="H575" s="6">
        <f>SUM(Table134[[#This Row],[NOVEMBER PAYMENT]:[MAY PAYMENT 
(BUDGET REDUCTION)]])</f>
        <v>4515.2700000000004</v>
      </c>
    </row>
    <row r="576" spans="1:8" x14ac:dyDescent="0.25">
      <c r="A576" t="str">
        <f>"096172"</f>
        <v>096172</v>
      </c>
      <c r="B576" t="s">
        <v>466</v>
      </c>
      <c r="C576">
        <v>19</v>
      </c>
      <c r="D576" s="6">
        <v>8121.35</v>
      </c>
      <c r="E576" s="6">
        <v>2680.05</v>
      </c>
      <c r="F576" s="6">
        <v>2680.04</v>
      </c>
      <c r="G576" s="6">
        <v>1859.79</v>
      </c>
      <c r="H576" s="6">
        <f>SUM(Table134[[#This Row],[NOVEMBER PAYMENT]:[MAY PAYMENT 
(BUDGET REDUCTION)]])</f>
        <v>7219.88</v>
      </c>
    </row>
    <row r="577" spans="1:8" x14ac:dyDescent="0.25">
      <c r="A577" t="str">
        <f>"096263"</f>
        <v>096263</v>
      </c>
      <c r="B577" t="s">
        <v>467</v>
      </c>
      <c r="C577">
        <v>11</v>
      </c>
      <c r="D577" s="6">
        <v>4701.83</v>
      </c>
      <c r="E577" s="6">
        <v>1551.6</v>
      </c>
      <c r="F577" s="6">
        <v>1551.6100000000001</v>
      </c>
      <c r="G577" s="6">
        <v>1076.72</v>
      </c>
      <c r="H577" s="6">
        <f>SUM(Table134[[#This Row],[NOVEMBER PAYMENT]:[MAY PAYMENT 
(BUDGET REDUCTION)]])</f>
        <v>4179.93</v>
      </c>
    </row>
    <row r="578" spans="1:8" x14ac:dyDescent="0.25">
      <c r="A578" t="str">
        <f>"096289"</f>
        <v>096289</v>
      </c>
      <c r="B578" t="s">
        <v>468</v>
      </c>
      <c r="C578">
        <v>27</v>
      </c>
      <c r="D578" s="6">
        <v>8939.81</v>
      </c>
      <c r="E578" s="6">
        <v>2950.14</v>
      </c>
      <c r="F578" s="6">
        <v>2950.1300000000006</v>
      </c>
      <c r="G578" s="6">
        <v>2047.22</v>
      </c>
      <c r="H578" s="6">
        <f>SUM(Table134[[#This Row],[NOVEMBER PAYMENT]:[MAY PAYMENT 
(BUDGET REDUCTION)]])</f>
        <v>7947.4900000000007</v>
      </c>
    </row>
    <row r="579" spans="1:8" x14ac:dyDescent="0.25">
      <c r="A579" t="str">
        <f>"096297"</f>
        <v>096297</v>
      </c>
      <c r="B579" t="s">
        <v>469</v>
      </c>
      <c r="C579">
        <v>582</v>
      </c>
      <c r="D579" s="6">
        <v>248769.63</v>
      </c>
      <c r="E579" s="6">
        <v>82093.98</v>
      </c>
      <c r="F579" s="6">
        <v>82093.98</v>
      </c>
      <c r="G579" s="6">
        <v>56968.24</v>
      </c>
      <c r="H579" s="6">
        <f>SUM(Table134[[#This Row],[NOVEMBER PAYMENT]:[MAY PAYMENT 
(BUDGET REDUCTION)]])</f>
        <v>221156.19999999998</v>
      </c>
    </row>
    <row r="580" spans="1:8" x14ac:dyDescent="0.25">
      <c r="A580" t="str">
        <f>"096347"</f>
        <v>096347</v>
      </c>
      <c r="B580" t="s">
        <v>470</v>
      </c>
      <c r="C580">
        <v>81</v>
      </c>
      <c r="D580" s="6">
        <v>34622.58</v>
      </c>
      <c r="E580" s="6">
        <v>11425.45</v>
      </c>
      <c r="F580" s="6">
        <v>11425.45</v>
      </c>
      <c r="G580" s="6">
        <v>7928.57</v>
      </c>
      <c r="H580" s="6">
        <f>SUM(Table134[[#This Row],[NOVEMBER PAYMENT]:[MAY PAYMENT 
(BUDGET REDUCTION)]])</f>
        <v>30779.47</v>
      </c>
    </row>
    <row r="581" spans="1:8" x14ac:dyDescent="0.25">
      <c r="A581" t="str">
        <f>"096693"</f>
        <v>096693</v>
      </c>
      <c r="B581" t="s">
        <v>471</v>
      </c>
      <c r="C581">
        <v>139</v>
      </c>
      <c r="D581" s="6">
        <v>59414.05</v>
      </c>
      <c r="E581" s="6">
        <v>19606.64</v>
      </c>
      <c r="F581" s="6">
        <v>19606.629999999997</v>
      </c>
      <c r="G581" s="6">
        <v>13605.82</v>
      </c>
      <c r="H581" s="6">
        <f>SUM(Table134[[#This Row],[NOVEMBER PAYMENT]:[MAY PAYMENT 
(BUDGET REDUCTION)]])</f>
        <v>52819.09</v>
      </c>
    </row>
    <row r="582" spans="1:8" x14ac:dyDescent="0.25">
      <c r="A582" t="str">
        <f>"096719"</f>
        <v>096719</v>
      </c>
      <c r="B582" t="s">
        <v>472</v>
      </c>
      <c r="C582">
        <v>587</v>
      </c>
      <c r="D582" s="6">
        <v>250906.82</v>
      </c>
      <c r="E582" s="6">
        <v>82799.25</v>
      </c>
      <c r="F582" s="6">
        <v>82799.25</v>
      </c>
      <c r="G582" s="6">
        <v>57457.66</v>
      </c>
      <c r="H582" s="6">
        <f>SUM(Table134[[#This Row],[NOVEMBER PAYMENT]:[MAY PAYMENT 
(BUDGET REDUCTION)]])</f>
        <v>223056.16</v>
      </c>
    </row>
    <row r="583" spans="1:8" x14ac:dyDescent="0.25">
      <c r="A583" t="str">
        <f>"096909"</f>
        <v>096909</v>
      </c>
      <c r="B583" t="s">
        <v>473</v>
      </c>
      <c r="C583">
        <v>70</v>
      </c>
      <c r="D583" s="6">
        <v>29920.75</v>
      </c>
      <c r="E583" s="6">
        <v>9873.85</v>
      </c>
      <c r="F583" s="6">
        <v>9873.85</v>
      </c>
      <c r="G583" s="6">
        <v>6851.85</v>
      </c>
      <c r="H583" s="6">
        <f>SUM(Table134[[#This Row],[NOVEMBER PAYMENT]:[MAY PAYMENT 
(BUDGET REDUCTION)]])</f>
        <v>26599.550000000003</v>
      </c>
    </row>
    <row r="584" spans="1:8" x14ac:dyDescent="0.25">
      <c r="A584" t="str">
        <f>"096966"</f>
        <v>096966</v>
      </c>
      <c r="B584" t="s">
        <v>474</v>
      </c>
      <c r="C584">
        <v>180</v>
      </c>
      <c r="D584" s="6">
        <v>76820.19</v>
      </c>
      <c r="E584" s="6">
        <v>25350.66</v>
      </c>
      <c r="F584" s="6">
        <v>25350.670000000002</v>
      </c>
      <c r="G584" s="6">
        <v>17591.82</v>
      </c>
      <c r="H584" s="6">
        <f>SUM(Table134[[#This Row],[NOVEMBER PAYMENT]:[MAY PAYMENT 
(BUDGET REDUCTION)]])</f>
        <v>68293.149999999994</v>
      </c>
    </row>
    <row r="585" spans="1:8" x14ac:dyDescent="0.25">
      <c r="A585" t="str">
        <f>"096974"</f>
        <v>096974</v>
      </c>
      <c r="B585" t="s">
        <v>475</v>
      </c>
      <c r="C585">
        <v>6</v>
      </c>
      <c r="D585" s="6">
        <v>2564.64</v>
      </c>
      <c r="E585" s="6">
        <v>846.33</v>
      </c>
      <c r="F585" s="6">
        <v>846.33</v>
      </c>
      <c r="G585" s="6">
        <v>587.29999999999995</v>
      </c>
      <c r="H585" s="6">
        <f>SUM(Table134[[#This Row],[NOVEMBER PAYMENT]:[MAY PAYMENT 
(BUDGET REDUCTION)]])</f>
        <v>2279.96</v>
      </c>
    </row>
    <row r="586" spans="1:8" x14ac:dyDescent="0.25">
      <c r="A586" t="str">
        <f>"097279"</f>
        <v>097279</v>
      </c>
      <c r="B586" t="s">
        <v>476</v>
      </c>
      <c r="C586">
        <v>124</v>
      </c>
      <c r="D586" s="6">
        <v>53002.46</v>
      </c>
      <c r="E586" s="6">
        <v>17490.810000000001</v>
      </c>
      <c r="F586" s="6">
        <v>17490.810000000001</v>
      </c>
      <c r="G586" s="6">
        <v>12137.57</v>
      </c>
      <c r="H586" s="6">
        <f>SUM(Table134[[#This Row],[NOVEMBER PAYMENT]:[MAY PAYMENT 
(BUDGET REDUCTION)]])</f>
        <v>47119.19</v>
      </c>
    </row>
    <row r="587" spans="1:8" x14ac:dyDescent="0.25">
      <c r="A587" t="str">
        <f>"097527"</f>
        <v>097527</v>
      </c>
      <c r="B587" t="s">
        <v>477</v>
      </c>
      <c r="C587">
        <v>15</v>
      </c>
      <c r="D587" s="6">
        <v>6411.59</v>
      </c>
      <c r="E587" s="6">
        <v>2115.8200000000002</v>
      </c>
      <c r="F587" s="6">
        <v>2115.8299999999995</v>
      </c>
      <c r="G587" s="6">
        <v>1468.25</v>
      </c>
      <c r="H587" s="6">
        <f>SUM(Table134[[#This Row],[NOVEMBER PAYMENT]:[MAY PAYMENT 
(BUDGET REDUCTION)]])</f>
        <v>5699.9</v>
      </c>
    </row>
    <row r="588" spans="1:8" x14ac:dyDescent="0.25">
      <c r="A588" t="str">
        <f>"097683"</f>
        <v>097683</v>
      </c>
      <c r="B588" t="s">
        <v>478</v>
      </c>
      <c r="C588">
        <v>211</v>
      </c>
      <c r="D588" s="6">
        <v>90189.68</v>
      </c>
      <c r="E588" s="6">
        <v>29762.59</v>
      </c>
      <c r="F588" s="6">
        <v>29762.600000000002</v>
      </c>
      <c r="G588" s="6">
        <v>20653.439999999999</v>
      </c>
      <c r="H588" s="6">
        <f>SUM(Table134[[#This Row],[NOVEMBER PAYMENT]:[MAY PAYMENT 
(BUDGET REDUCTION)]])</f>
        <v>80178.63</v>
      </c>
    </row>
    <row r="589" spans="1:8" x14ac:dyDescent="0.25">
      <c r="A589" t="str">
        <f>"097923"</f>
        <v>097923</v>
      </c>
      <c r="B589" t="s">
        <v>479</v>
      </c>
      <c r="C589">
        <v>380</v>
      </c>
      <c r="D589" s="6">
        <v>162426.9</v>
      </c>
      <c r="E589" s="6">
        <v>53600.88</v>
      </c>
      <c r="F589" s="6">
        <v>53600.87</v>
      </c>
      <c r="G589" s="6">
        <v>37195.760000000002</v>
      </c>
      <c r="H589" s="6">
        <f>SUM(Table134[[#This Row],[NOVEMBER PAYMENT]:[MAY PAYMENT 
(BUDGET REDUCTION)]])</f>
        <v>144397.51</v>
      </c>
    </row>
    <row r="590" spans="1:8" x14ac:dyDescent="0.25">
      <c r="A590" t="str">
        <f>"097931"</f>
        <v>097931</v>
      </c>
      <c r="B590" t="s">
        <v>480</v>
      </c>
      <c r="C590">
        <v>127</v>
      </c>
      <c r="D590" s="6">
        <v>54284.78</v>
      </c>
      <c r="E590" s="6">
        <v>17913.98</v>
      </c>
      <c r="F590" s="6">
        <v>17913.969999999998</v>
      </c>
      <c r="G590" s="6">
        <v>12431.22</v>
      </c>
      <c r="H590" s="6">
        <f>SUM(Table134[[#This Row],[NOVEMBER PAYMENT]:[MAY PAYMENT 
(BUDGET REDUCTION)]])</f>
        <v>48259.17</v>
      </c>
    </row>
    <row r="591" spans="1:8" x14ac:dyDescent="0.25">
      <c r="A591" t="str">
        <f>"098525"</f>
        <v>098525</v>
      </c>
      <c r="B591" t="s">
        <v>457</v>
      </c>
      <c r="C591">
        <v>36</v>
      </c>
      <c r="D591" s="6">
        <v>15387.81</v>
      </c>
      <c r="E591" s="6">
        <v>5077.9799999999996</v>
      </c>
      <c r="F591" s="6">
        <v>5077.9700000000012</v>
      </c>
      <c r="G591" s="6">
        <v>3523.81</v>
      </c>
      <c r="H591" s="6">
        <f>SUM(Table134[[#This Row],[NOVEMBER PAYMENT]:[MAY PAYMENT 
(BUDGET REDUCTION)]])</f>
        <v>13679.76</v>
      </c>
    </row>
    <row r="592" spans="1:8" x14ac:dyDescent="0.25">
      <c r="A592" t="str">
        <f>"110031"</f>
        <v>110031</v>
      </c>
      <c r="B592" t="s">
        <v>481</v>
      </c>
      <c r="C592">
        <v>121</v>
      </c>
      <c r="D592" s="6">
        <v>51720.15</v>
      </c>
      <c r="E592" s="6">
        <v>17067.650000000001</v>
      </c>
      <c r="F592" s="6">
        <v>17067.650000000001</v>
      </c>
      <c r="G592" s="6">
        <v>11843.91</v>
      </c>
      <c r="H592" s="6">
        <f>SUM(Table134[[#This Row],[NOVEMBER PAYMENT]:[MAY PAYMENT 
(BUDGET REDUCTION)]])</f>
        <v>45979.210000000006</v>
      </c>
    </row>
    <row r="593" spans="1:8" x14ac:dyDescent="0.25">
      <c r="A593" t="str">
        <f>"110403"</f>
        <v>110403</v>
      </c>
      <c r="B593" t="s">
        <v>482</v>
      </c>
      <c r="C593">
        <v>52</v>
      </c>
      <c r="D593" s="6">
        <v>22226.84</v>
      </c>
      <c r="E593" s="6">
        <v>7334.86</v>
      </c>
      <c r="F593" s="6">
        <v>7334.8499999999995</v>
      </c>
      <c r="G593" s="6">
        <v>5089.95</v>
      </c>
      <c r="H593" s="6">
        <f>SUM(Table134[[#This Row],[NOVEMBER PAYMENT]:[MAY PAYMENT 
(BUDGET REDUCTION)]])</f>
        <v>19759.66</v>
      </c>
    </row>
    <row r="594" spans="1:8" x14ac:dyDescent="0.25">
      <c r="A594" t="str">
        <f>"110411"</f>
        <v>110411</v>
      </c>
      <c r="B594" t="s">
        <v>483</v>
      </c>
      <c r="C594">
        <v>148</v>
      </c>
      <c r="D594" s="6">
        <v>62387.88</v>
      </c>
      <c r="E594" s="6">
        <v>20588</v>
      </c>
      <c r="F594" s="6">
        <v>20588</v>
      </c>
      <c r="G594" s="6">
        <v>14286.83</v>
      </c>
      <c r="H594" s="6">
        <f>SUM(Table134[[#This Row],[NOVEMBER PAYMENT]:[MAY PAYMENT 
(BUDGET REDUCTION)]])</f>
        <v>55462.83</v>
      </c>
    </row>
    <row r="595" spans="1:8" x14ac:dyDescent="0.25">
      <c r="A595" t="str">
        <f>"110619"</f>
        <v>110619</v>
      </c>
      <c r="B595" t="s">
        <v>484</v>
      </c>
      <c r="C595">
        <v>39</v>
      </c>
      <c r="D595" s="6">
        <v>16670.13</v>
      </c>
      <c r="E595" s="6">
        <v>5501.14</v>
      </c>
      <c r="F595" s="6">
        <v>5501.1500000000005</v>
      </c>
      <c r="G595" s="6">
        <v>3817.46</v>
      </c>
      <c r="H595" s="6">
        <f>SUM(Table134[[#This Row],[NOVEMBER PAYMENT]:[MAY PAYMENT 
(BUDGET REDUCTION)]])</f>
        <v>14819.75</v>
      </c>
    </row>
    <row r="596" spans="1:8" x14ac:dyDescent="0.25">
      <c r="A596" t="str">
        <f>"110684"</f>
        <v>110684</v>
      </c>
      <c r="B596" t="s">
        <v>485</v>
      </c>
      <c r="C596">
        <v>26</v>
      </c>
      <c r="D596" s="6">
        <v>11113.42</v>
      </c>
      <c r="E596" s="6">
        <v>3667.43</v>
      </c>
      <c r="F596" s="6">
        <v>3667.43</v>
      </c>
      <c r="G596" s="6">
        <v>2544.9699999999998</v>
      </c>
      <c r="H596" s="6">
        <f>SUM(Table134[[#This Row],[NOVEMBER PAYMENT]:[MAY PAYMENT 
(BUDGET REDUCTION)]])</f>
        <v>9879.83</v>
      </c>
    </row>
    <row r="597" spans="1:8" x14ac:dyDescent="0.25">
      <c r="A597" t="str">
        <f>"110692"</f>
        <v>110692</v>
      </c>
      <c r="B597" t="s">
        <v>486</v>
      </c>
      <c r="C597">
        <v>55</v>
      </c>
      <c r="D597" s="6">
        <v>23509.16</v>
      </c>
      <c r="E597" s="6">
        <v>7758.02</v>
      </c>
      <c r="F597" s="6">
        <v>7758.0299999999988</v>
      </c>
      <c r="G597" s="6">
        <v>5383.59</v>
      </c>
      <c r="H597" s="6">
        <f>SUM(Table134[[#This Row],[NOVEMBER PAYMENT]:[MAY PAYMENT 
(BUDGET REDUCTION)]])</f>
        <v>20899.64</v>
      </c>
    </row>
    <row r="598" spans="1:8" x14ac:dyDescent="0.25">
      <c r="A598" t="str">
        <f>"111898"</f>
        <v>111898</v>
      </c>
      <c r="B598" t="s">
        <v>487</v>
      </c>
      <c r="C598">
        <v>409</v>
      </c>
      <c r="D598" s="6">
        <v>174822.64</v>
      </c>
      <c r="E598" s="6">
        <v>57691.47</v>
      </c>
      <c r="F598" s="6">
        <v>57691.47</v>
      </c>
      <c r="G598" s="6">
        <v>40034.39</v>
      </c>
      <c r="H598" s="6">
        <f>SUM(Table134[[#This Row],[NOVEMBER PAYMENT]:[MAY PAYMENT 
(BUDGET REDUCTION)]])</f>
        <v>155417.33000000002</v>
      </c>
    </row>
    <row r="599" spans="1:8" x14ac:dyDescent="0.25">
      <c r="A599" t="str">
        <f>"112110"</f>
        <v>112110</v>
      </c>
      <c r="B599" t="s">
        <v>488</v>
      </c>
      <c r="C599">
        <v>147</v>
      </c>
      <c r="D599" s="6">
        <v>62833.57</v>
      </c>
      <c r="E599" s="6">
        <v>20735.080000000002</v>
      </c>
      <c r="F599" s="6">
        <v>20735.080000000002</v>
      </c>
      <c r="G599" s="6">
        <v>14388.88</v>
      </c>
      <c r="H599" s="6">
        <f>SUM(Table134[[#This Row],[NOVEMBER PAYMENT]:[MAY PAYMENT 
(BUDGET REDUCTION)]])</f>
        <v>55859.040000000001</v>
      </c>
    </row>
    <row r="600" spans="1:8" x14ac:dyDescent="0.25">
      <c r="A600" t="str">
        <f>"112227"</f>
        <v>112227</v>
      </c>
      <c r="B600" t="s">
        <v>489</v>
      </c>
      <c r="C600">
        <v>618</v>
      </c>
      <c r="D600" s="6">
        <v>264157.44</v>
      </c>
      <c r="E600" s="6">
        <v>87171.96</v>
      </c>
      <c r="F600" s="6">
        <v>87171.95</v>
      </c>
      <c r="G600" s="6">
        <v>60492.05</v>
      </c>
      <c r="H600" s="6">
        <f>SUM(Table134[[#This Row],[NOVEMBER PAYMENT]:[MAY PAYMENT 
(BUDGET REDUCTION)]])</f>
        <v>234835.96000000002</v>
      </c>
    </row>
    <row r="601" spans="1:8" x14ac:dyDescent="0.25">
      <c r="A601" t="str">
        <f>"112490"</f>
        <v>112490</v>
      </c>
      <c r="B601" t="s">
        <v>490</v>
      </c>
      <c r="C601">
        <v>132</v>
      </c>
      <c r="D601" s="6">
        <v>56421.98</v>
      </c>
      <c r="E601" s="6">
        <v>18619.25</v>
      </c>
      <c r="F601" s="6">
        <v>18619.260000000002</v>
      </c>
      <c r="G601" s="6">
        <v>12920.63</v>
      </c>
      <c r="H601" s="6">
        <f>SUM(Table134[[#This Row],[NOVEMBER PAYMENT]:[MAY PAYMENT 
(BUDGET REDUCTION)]])</f>
        <v>50159.14</v>
      </c>
    </row>
    <row r="602" spans="1:8" x14ac:dyDescent="0.25">
      <c r="A602" t="str">
        <f>"112508"</f>
        <v>112508</v>
      </c>
      <c r="B602" t="s">
        <v>491</v>
      </c>
      <c r="C602">
        <v>85</v>
      </c>
      <c r="D602" s="6">
        <v>36332.33</v>
      </c>
      <c r="E602" s="6">
        <v>11989.67</v>
      </c>
      <c r="F602" s="6">
        <v>11989.67</v>
      </c>
      <c r="G602" s="6">
        <v>8320.1</v>
      </c>
      <c r="H602" s="6">
        <f>SUM(Table134[[#This Row],[NOVEMBER PAYMENT]:[MAY PAYMENT 
(BUDGET REDUCTION)]])</f>
        <v>32299.440000000002</v>
      </c>
    </row>
    <row r="603" spans="1:8" x14ac:dyDescent="0.25">
      <c r="A603" t="str">
        <f>"112516"</f>
        <v>112516</v>
      </c>
      <c r="B603" t="s">
        <v>492</v>
      </c>
      <c r="C603">
        <v>17</v>
      </c>
      <c r="D603" s="6">
        <v>7266.47</v>
      </c>
      <c r="E603" s="6">
        <v>2397.94</v>
      </c>
      <c r="F603" s="6">
        <v>2397.9299999999998</v>
      </c>
      <c r="G603" s="6">
        <v>1664.02</v>
      </c>
      <c r="H603" s="6">
        <f>SUM(Table134[[#This Row],[NOVEMBER PAYMENT]:[MAY PAYMENT 
(BUDGET REDUCTION)]])</f>
        <v>6459.8899999999994</v>
      </c>
    </row>
    <row r="604" spans="1:8" x14ac:dyDescent="0.25">
      <c r="A604" t="str">
        <f>"112680"</f>
        <v>112680</v>
      </c>
      <c r="B604" t="s">
        <v>493</v>
      </c>
      <c r="C604">
        <v>4</v>
      </c>
      <c r="D604" s="6">
        <v>1709.76</v>
      </c>
      <c r="E604" s="6">
        <v>564.22</v>
      </c>
      <c r="F604" s="6">
        <v>564.22</v>
      </c>
      <c r="G604" s="6">
        <v>391.54</v>
      </c>
      <c r="H604" s="6">
        <f>SUM(Table134[[#This Row],[NOVEMBER PAYMENT]:[MAY PAYMENT 
(BUDGET REDUCTION)]])</f>
        <v>1519.98</v>
      </c>
    </row>
    <row r="605" spans="1:8" x14ac:dyDescent="0.25">
      <c r="A605" t="str">
        <f>"113050"</f>
        <v>113050</v>
      </c>
      <c r="B605" t="s">
        <v>494</v>
      </c>
      <c r="C605">
        <v>103</v>
      </c>
      <c r="D605" s="6">
        <v>44026.239999999998</v>
      </c>
      <c r="E605" s="6">
        <v>14528.66</v>
      </c>
      <c r="F605" s="6">
        <v>14528.66</v>
      </c>
      <c r="G605" s="6">
        <v>10082.01</v>
      </c>
      <c r="H605" s="6">
        <f>SUM(Table134[[#This Row],[NOVEMBER PAYMENT]:[MAY PAYMENT 
(BUDGET REDUCTION)]])</f>
        <v>39139.33</v>
      </c>
    </row>
    <row r="606" spans="1:8" x14ac:dyDescent="0.25">
      <c r="A606" t="str">
        <f>"113522"</f>
        <v>113522</v>
      </c>
      <c r="B606" t="s">
        <v>495</v>
      </c>
      <c r="C606">
        <v>139</v>
      </c>
      <c r="D606" s="6">
        <v>59414.05</v>
      </c>
      <c r="E606" s="6">
        <v>19606.64</v>
      </c>
      <c r="F606" s="6">
        <v>19606.629999999997</v>
      </c>
      <c r="G606" s="6">
        <v>13605.82</v>
      </c>
      <c r="H606" s="6">
        <f>SUM(Table134[[#This Row],[NOVEMBER PAYMENT]:[MAY PAYMENT 
(BUDGET REDUCTION)]])</f>
        <v>52819.09</v>
      </c>
    </row>
    <row r="607" spans="1:8" x14ac:dyDescent="0.25">
      <c r="A607" t="str">
        <f>"114751"</f>
        <v>114751</v>
      </c>
      <c r="B607" t="s">
        <v>496</v>
      </c>
      <c r="C607">
        <v>20</v>
      </c>
      <c r="D607" s="6">
        <v>8548.7800000000007</v>
      </c>
      <c r="E607" s="6">
        <v>2821.1</v>
      </c>
      <c r="F607" s="6">
        <v>2821.0899999999997</v>
      </c>
      <c r="G607" s="6">
        <v>1957.68</v>
      </c>
      <c r="H607" s="6">
        <f>SUM(Table134[[#This Row],[NOVEMBER PAYMENT]:[MAY PAYMENT 
(BUDGET REDUCTION)]])</f>
        <v>7599.87</v>
      </c>
    </row>
    <row r="608" spans="1:8" x14ac:dyDescent="0.25">
      <c r="A608" t="str">
        <f>"114777"</f>
        <v>114777</v>
      </c>
      <c r="B608" t="s">
        <v>497</v>
      </c>
      <c r="C608">
        <v>15</v>
      </c>
      <c r="D608" s="6">
        <v>6411.59</v>
      </c>
      <c r="E608" s="6">
        <v>2115.8200000000002</v>
      </c>
      <c r="F608" s="6">
        <v>2115.8299999999995</v>
      </c>
      <c r="G608" s="6">
        <v>1468.25</v>
      </c>
      <c r="H608" s="6">
        <f>SUM(Table134[[#This Row],[NOVEMBER PAYMENT]:[MAY PAYMENT 
(BUDGET REDUCTION)]])</f>
        <v>5699.9</v>
      </c>
    </row>
    <row r="609" spans="1:8" x14ac:dyDescent="0.25">
      <c r="A609" t="str">
        <f>"114785"</f>
        <v>114785</v>
      </c>
      <c r="B609" t="s">
        <v>498</v>
      </c>
      <c r="C609">
        <v>7</v>
      </c>
      <c r="D609" s="6">
        <v>2992.07</v>
      </c>
      <c r="E609" s="6">
        <v>987.38</v>
      </c>
      <c r="F609" s="6">
        <v>987.39</v>
      </c>
      <c r="G609" s="6">
        <v>685.18</v>
      </c>
      <c r="H609" s="6">
        <f>SUM(Table134[[#This Row],[NOVEMBER PAYMENT]:[MAY PAYMENT 
(BUDGET REDUCTION)]])</f>
        <v>2659.95</v>
      </c>
    </row>
    <row r="610" spans="1:8" x14ac:dyDescent="0.25">
      <c r="A610" t="str">
        <f>"115535"</f>
        <v>115535</v>
      </c>
      <c r="B610" t="s">
        <v>499</v>
      </c>
      <c r="C610">
        <v>178</v>
      </c>
      <c r="D610" s="6">
        <v>75511.259999999995</v>
      </c>
      <c r="E610" s="6">
        <v>24918.720000000001</v>
      </c>
      <c r="F610" s="6">
        <v>24918.71</v>
      </c>
      <c r="G610" s="6">
        <v>17292.080000000002</v>
      </c>
      <c r="H610" s="6">
        <f>SUM(Table134[[#This Row],[NOVEMBER PAYMENT]:[MAY PAYMENT 
(BUDGET REDUCTION)]])</f>
        <v>67129.510000000009</v>
      </c>
    </row>
    <row r="611" spans="1:8" x14ac:dyDescent="0.25">
      <c r="A611" t="str">
        <f>"116616"</f>
        <v>116616</v>
      </c>
      <c r="B611" t="s">
        <v>500</v>
      </c>
      <c r="C611">
        <v>5</v>
      </c>
      <c r="D611" s="6">
        <v>2137.1999999999998</v>
      </c>
      <c r="E611" s="6">
        <v>705.28</v>
      </c>
      <c r="F611" s="6">
        <v>705.27</v>
      </c>
      <c r="G611" s="6">
        <v>489.42</v>
      </c>
      <c r="H611" s="6">
        <f>SUM(Table134[[#This Row],[NOVEMBER PAYMENT]:[MAY PAYMENT 
(BUDGET REDUCTION)]])</f>
        <v>1899.97</v>
      </c>
    </row>
    <row r="612" spans="1:8" x14ac:dyDescent="0.25">
      <c r="A612" t="str">
        <f>"116624"</f>
        <v>116624</v>
      </c>
      <c r="B612" t="s">
        <v>501</v>
      </c>
      <c r="C612">
        <v>12</v>
      </c>
      <c r="D612" s="6">
        <v>5129.2700000000004</v>
      </c>
      <c r="E612" s="6">
        <v>1692.66</v>
      </c>
      <c r="F612" s="6">
        <v>1692.66</v>
      </c>
      <c r="G612" s="6">
        <v>1174.5999999999999</v>
      </c>
      <c r="H612" s="6">
        <f>SUM(Table134[[#This Row],[NOVEMBER PAYMENT]:[MAY PAYMENT 
(BUDGET REDUCTION)]])</f>
        <v>4559.92</v>
      </c>
    </row>
    <row r="613" spans="1:8" x14ac:dyDescent="0.25">
      <c r="A613" t="str">
        <f>"118216"</f>
        <v>118216</v>
      </c>
      <c r="B613" t="s">
        <v>502</v>
      </c>
      <c r="C613">
        <v>216</v>
      </c>
      <c r="D613" s="6">
        <v>92326.87</v>
      </c>
      <c r="E613" s="6">
        <v>30467.87</v>
      </c>
      <c r="F613" s="6">
        <v>30467.860000000004</v>
      </c>
      <c r="G613" s="6">
        <v>21142.86</v>
      </c>
      <c r="H613" s="6">
        <f>SUM(Table134[[#This Row],[NOVEMBER PAYMENT]:[MAY PAYMENT 
(BUDGET REDUCTION)]])</f>
        <v>82078.59</v>
      </c>
    </row>
    <row r="614" spans="1:8" x14ac:dyDescent="0.25">
      <c r="A614" t="str">
        <f>"119313"</f>
        <v>119313</v>
      </c>
      <c r="B614" t="s">
        <v>503</v>
      </c>
      <c r="C614">
        <v>54</v>
      </c>
      <c r="D614" s="6">
        <v>20803.14</v>
      </c>
      <c r="E614" s="6">
        <v>6865.04</v>
      </c>
      <c r="F614" s="6">
        <v>6865.03</v>
      </c>
      <c r="G614" s="6">
        <v>4763.92</v>
      </c>
      <c r="H614" s="6">
        <f>SUM(Table134[[#This Row],[NOVEMBER PAYMENT]:[MAY PAYMENT 
(BUDGET REDUCTION)]])</f>
        <v>18493.989999999998</v>
      </c>
    </row>
    <row r="615" spans="1:8" x14ac:dyDescent="0.25">
      <c r="A615" t="str">
        <f>"119339"</f>
        <v>119339</v>
      </c>
      <c r="B615" t="s">
        <v>504</v>
      </c>
      <c r="C615">
        <v>12</v>
      </c>
      <c r="D615" s="6">
        <v>5129.2700000000004</v>
      </c>
      <c r="E615" s="6">
        <v>1692.66</v>
      </c>
      <c r="F615" s="6">
        <v>1692.66</v>
      </c>
      <c r="G615" s="6">
        <v>1174.5999999999999</v>
      </c>
      <c r="H615" s="6">
        <f>SUM(Table134[[#This Row],[NOVEMBER PAYMENT]:[MAY PAYMENT 
(BUDGET REDUCTION)]])</f>
        <v>4559.92</v>
      </c>
    </row>
    <row r="616" spans="1:8" x14ac:dyDescent="0.25">
      <c r="A616" t="str">
        <f>"119917"</f>
        <v>119917</v>
      </c>
      <c r="B616" t="s">
        <v>505</v>
      </c>
      <c r="C616">
        <v>4</v>
      </c>
      <c r="D616" s="6">
        <v>1709.76</v>
      </c>
      <c r="E616" s="6">
        <v>564.22</v>
      </c>
      <c r="F616" s="6">
        <v>564.22</v>
      </c>
      <c r="G616" s="6">
        <v>391.54</v>
      </c>
      <c r="H616" s="6">
        <f>SUM(Table134[[#This Row],[NOVEMBER PAYMENT]:[MAY PAYMENT 
(BUDGET REDUCTION)]])</f>
        <v>1519.98</v>
      </c>
    </row>
    <row r="617" spans="1:8" x14ac:dyDescent="0.25">
      <c r="A617" t="str">
        <f>"119990"</f>
        <v>119990</v>
      </c>
      <c r="B617" t="s">
        <v>506</v>
      </c>
      <c r="C617">
        <v>59</v>
      </c>
      <c r="D617" s="6">
        <v>25218.91</v>
      </c>
      <c r="E617" s="6">
        <v>8322.24</v>
      </c>
      <c r="F617" s="6">
        <v>8322.24</v>
      </c>
      <c r="G617" s="6">
        <v>5775.13</v>
      </c>
      <c r="H617" s="6">
        <f>SUM(Table134[[#This Row],[NOVEMBER PAYMENT]:[MAY PAYMENT 
(BUDGET REDUCTION)]])</f>
        <v>22419.61</v>
      </c>
    </row>
    <row r="618" spans="1:8" x14ac:dyDescent="0.25">
      <c r="A618" t="str">
        <f>"120675"</f>
        <v>120675</v>
      </c>
      <c r="B618" t="s">
        <v>507</v>
      </c>
      <c r="C618">
        <v>71</v>
      </c>
      <c r="D618" s="6">
        <v>30348.18</v>
      </c>
      <c r="E618" s="6">
        <v>10014.9</v>
      </c>
      <c r="F618" s="6">
        <v>10014.9</v>
      </c>
      <c r="G618" s="6">
        <v>6949.73</v>
      </c>
      <c r="H618" s="6">
        <f>SUM(Table134[[#This Row],[NOVEMBER PAYMENT]:[MAY PAYMENT 
(BUDGET REDUCTION)]])</f>
        <v>26979.53</v>
      </c>
    </row>
    <row r="619" spans="1:8" x14ac:dyDescent="0.25">
      <c r="A619" t="str">
        <f>"120865"</f>
        <v>120865</v>
      </c>
      <c r="B619" t="s">
        <v>508</v>
      </c>
      <c r="C619">
        <v>186</v>
      </c>
      <c r="D619" s="6">
        <v>79503.69</v>
      </c>
      <c r="E619" s="6">
        <v>26236.22</v>
      </c>
      <c r="F619" s="6">
        <v>26236.22</v>
      </c>
      <c r="G619" s="6">
        <v>18206.34</v>
      </c>
      <c r="H619" s="6">
        <f>SUM(Table134[[#This Row],[NOVEMBER PAYMENT]:[MAY PAYMENT 
(BUDGET REDUCTION)]])</f>
        <v>70678.78</v>
      </c>
    </row>
    <row r="620" spans="1:8" x14ac:dyDescent="0.25">
      <c r="A620" t="str">
        <f>"121053"</f>
        <v>121053</v>
      </c>
      <c r="B620" t="s">
        <v>509</v>
      </c>
      <c r="C620">
        <v>17</v>
      </c>
      <c r="D620" s="6">
        <v>2551.42</v>
      </c>
      <c r="E620" s="6">
        <v>841.97</v>
      </c>
      <c r="F620" s="6">
        <v>841.97</v>
      </c>
      <c r="G620" s="6">
        <v>584.27</v>
      </c>
      <c r="H620" s="6">
        <f>SUM(Table134[[#This Row],[NOVEMBER PAYMENT]:[MAY PAYMENT 
(BUDGET REDUCTION)]])</f>
        <v>2268.21</v>
      </c>
    </row>
    <row r="621" spans="1:8" x14ac:dyDescent="0.25">
      <c r="A621" t="str">
        <f>"121277"</f>
        <v>121277</v>
      </c>
      <c r="B621" t="s">
        <v>510</v>
      </c>
      <c r="C621">
        <v>23</v>
      </c>
      <c r="D621" s="6">
        <v>9831.1</v>
      </c>
      <c r="E621" s="6">
        <v>3244.26</v>
      </c>
      <c r="F621" s="6">
        <v>3244.2699999999995</v>
      </c>
      <c r="G621" s="6">
        <v>2251.3200000000002</v>
      </c>
      <c r="H621" s="6">
        <f>SUM(Table134[[#This Row],[NOVEMBER PAYMENT]:[MAY PAYMENT 
(BUDGET REDUCTION)]])</f>
        <v>8739.85</v>
      </c>
    </row>
    <row r="622" spans="1:8" x14ac:dyDescent="0.25">
      <c r="A622" t="str">
        <f>"121491"</f>
        <v>121491</v>
      </c>
      <c r="B622" t="s">
        <v>511</v>
      </c>
      <c r="C622">
        <v>36</v>
      </c>
      <c r="D622" s="6">
        <v>15387.81</v>
      </c>
      <c r="E622" s="6">
        <v>5077.9799999999996</v>
      </c>
      <c r="F622" s="6">
        <v>5077.9700000000012</v>
      </c>
      <c r="G622" s="6">
        <v>3523.81</v>
      </c>
      <c r="H622" s="6">
        <f>SUM(Table134[[#This Row],[NOVEMBER PAYMENT]:[MAY PAYMENT 
(BUDGET REDUCTION)]])</f>
        <v>13679.76</v>
      </c>
    </row>
    <row r="623" spans="1:8" x14ac:dyDescent="0.25">
      <c r="A623" t="str">
        <f>"122457"</f>
        <v>122457</v>
      </c>
      <c r="B623" t="s">
        <v>512</v>
      </c>
      <c r="C623">
        <v>254</v>
      </c>
      <c r="D623" s="6">
        <v>108569.56</v>
      </c>
      <c r="E623" s="6">
        <v>35827.949999999997</v>
      </c>
      <c r="F623" s="6">
        <v>35827.960000000006</v>
      </c>
      <c r="G623" s="6">
        <v>24862.43</v>
      </c>
      <c r="H623" s="6">
        <f>SUM(Table134[[#This Row],[NOVEMBER PAYMENT]:[MAY PAYMENT 
(BUDGET REDUCTION)]])</f>
        <v>96518.34</v>
      </c>
    </row>
    <row r="624" spans="1:8" x14ac:dyDescent="0.25">
      <c r="A624" t="str">
        <f>"122465"</f>
        <v>122465</v>
      </c>
      <c r="B624" t="s">
        <v>513</v>
      </c>
      <c r="C624">
        <v>37</v>
      </c>
      <c r="D624" s="6">
        <v>15815.25</v>
      </c>
      <c r="E624" s="6">
        <v>5219.03</v>
      </c>
      <c r="F624" s="6">
        <v>5219.04</v>
      </c>
      <c r="G624" s="6">
        <v>3621.69</v>
      </c>
      <c r="H624" s="6">
        <f>SUM(Table134[[#This Row],[NOVEMBER PAYMENT]:[MAY PAYMENT 
(BUDGET REDUCTION)]])</f>
        <v>14059.76</v>
      </c>
    </row>
    <row r="625" spans="1:8" x14ac:dyDescent="0.25">
      <c r="A625" t="str">
        <f>"122473"</f>
        <v>122473</v>
      </c>
      <c r="B625" t="s">
        <v>514</v>
      </c>
      <c r="C625">
        <v>120</v>
      </c>
      <c r="D625" s="6">
        <v>51292.71</v>
      </c>
      <c r="E625" s="6">
        <v>16926.59</v>
      </c>
      <c r="F625" s="6">
        <v>16926.600000000002</v>
      </c>
      <c r="G625" s="6">
        <v>11746.03</v>
      </c>
      <c r="H625" s="6">
        <f>SUM(Table134[[#This Row],[NOVEMBER PAYMENT]:[MAY PAYMENT 
(BUDGET REDUCTION)]])</f>
        <v>45599.22</v>
      </c>
    </row>
    <row r="626" spans="1:8" x14ac:dyDescent="0.25">
      <c r="A626" t="str">
        <f>"122481"</f>
        <v>122481</v>
      </c>
      <c r="B626" t="s">
        <v>515</v>
      </c>
      <c r="C626">
        <v>9</v>
      </c>
      <c r="D626" s="6">
        <v>3846.95</v>
      </c>
      <c r="E626" s="6">
        <v>1269.49</v>
      </c>
      <c r="F626" s="6">
        <v>1269.4999999999998</v>
      </c>
      <c r="G626" s="6">
        <v>880.95</v>
      </c>
      <c r="H626" s="6">
        <f>SUM(Table134[[#This Row],[NOVEMBER PAYMENT]:[MAY PAYMENT 
(BUDGET REDUCTION)]])</f>
        <v>3419.9399999999996</v>
      </c>
    </row>
    <row r="627" spans="1:8" x14ac:dyDescent="0.25">
      <c r="A627" t="str">
        <f>"122697"</f>
        <v>122697</v>
      </c>
      <c r="B627" t="s">
        <v>487</v>
      </c>
      <c r="C627">
        <v>396</v>
      </c>
      <c r="D627" s="6">
        <v>169265.93</v>
      </c>
      <c r="E627" s="6">
        <v>55857.760000000002</v>
      </c>
      <c r="F627" s="6">
        <v>55857.749999999993</v>
      </c>
      <c r="G627" s="6">
        <v>38761.9</v>
      </c>
      <c r="H627" s="6">
        <f>SUM(Table134[[#This Row],[NOVEMBER PAYMENT]:[MAY PAYMENT 
(BUDGET REDUCTION)]])</f>
        <v>150477.41</v>
      </c>
    </row>
    <row r="628" spans="1:8" x14ac:dyDescent="0.25">
      <c r="A628" t="str">
        <f>"122879"</f>
        <v>122879</v>
      </c>
      <c r="B628" t="s">
        <v>516</v>
      </c>
      <c r="C628">
        <v>20</v>
      </c>
      <c r="D628" s="6">
        <v>8548.7800000000007</v>
      </c>
      <c r="E628" s="6">
        <v>2821.1</v>
      </c>
      <c r="F628" s="6">
        <v>2821.0899999999997</v>
      </c>
      <c r="G628" s="6">
        <v>1957.68</v>
      </c>
      <c r="H628" s="6">
        <f>SUM(Table134[[#This Row],[NOVEMBER PAYMENT]:[MAY PAYMENT 
(BUDGET REDUCTION)]])</f>
        <v>7599.87</v>
      </c>
    </row>
    <row r="629" spans="1:8" x14ac:dyDescent="0.25">
      <c r="A629" t="str">
        <f>"123109"</f>
        <v>123109</v>
      </c>
      <c r="B629" t="s">
        <v>517</v>
      </c>
      <c r="C629">
        <v>119</v>
      </c>
      <c r="D629" s="6">
        <v>50865.27</v>
      </c>
      <c r="E629" s="6">
        <v>16785.54</v>
      </c>
      <c r="F629" s="6">
        <v>16785.54</v>
      </c>
      <c r="G629" s="6">
        <v>11648.15</v>
      </c>
      <c r="H629" s="6">
        <f>SUM(Table134[[#This Row],[NOVEMBER PAYMENT]:[MAY PAYMENT 
(BUDGET REDUCTION)]])</f>
        <v>45219.23</v>
      </c>
    </row>
    <row r="630" spans="1:8" x14ac:dyDescent="0.25">
      <c r="A630" t="str">
        <f>"123356"</f>
        <v>123356</v>
      </c>
      <c r="B630" t="s">
        <v>518</v>
      </c>
      <c r="C630">
        <v>81</v>
      </c>
      <c r="D630" s="6">
        <v>34622.58</v>
      </c>
      <c r="E630" s="6">
        <v>11425.45</v>
      </c>
      <c r="F630" s="6">
        <v>11425.45</v>
      </c>
      <c r="G630" s="6">
        <v>7928.57</v>
      </c>
      <c r="H630" s="6">
        <f>SUM(Table134[[#This Row],[NOVEMBER PAYMENT]:[MAY PAYMENT 
(BUDGET REDUCTION)]])</f>
        <v>30779.47</v>
      </c>
    </row>
    <row r="631" spans="1:8" x14ac:dyDescent="0.25">
      <c r="A631" t="str">
        <f>"123950"</f>
        <v>123950</v>
      </c>
      <c r="B631" t="s">
        <v>519</v>
      </c>
      <c r="C631">
        <v>342</v>
      </c>
      <c r="D631" s="6">
        <v>146184.21</v>
      </c>
      <c r="E631" s="6">
        <v>48240.79</v>
      </c>
      <c r="F631" s="6">
        <v>48240.79</v>
      </c>
      <c r="G631" s="6">
        <v>33476.18</v>
      </c>
      <c r="H631" s="6">
        <f>SUM(Table134[[#This Row],[NOVEMBER PAYMENT]:[MAY PAYMENT 
(BUDGET REDUCTION)]])</f>
        <v>129957.76000000001</v>
      </c>
    </row>
    <row r="632" spans="1:8" x14ac:dyDescent="0.25">
      <c r="A632" t="str">
        <f>"124883"</f>
        <v>124883</v>
      </c>
      <c r="B632" t="s">
        <v>520</v>
      </c>
      <c r="C632">
        <v>545</v>
      </c>
      <c r="D632" s="6">
        <v>232954.37</v>
      </c>
      <c r="E632" s="6">
        <v>76874.94</v>
      </c>
      <c r="F632" s="6">
        <v>76874.94</v>
      </c>
      <c r="G632" s="6">
        <v>53346.55</v>
      </c>
      <c r="H632" s="6">
        <f>SUM(Table134[[#This Row],[NOVEMBER PAYMENT]:[MAY PAYMENT 
(BUDGET REDUCTION)]])</f>
        <v>207096.43</v>
      </c>
    </row>
    <row r="633" spans="1:8" x14ac:dyDescent="0.25">
      <c r="A633" t="str">
        <f>"125013"</f>
        <v>125013</v>
      </c>
      <c r="B633" t="s">
        <v>521</v>
      </c>
      <c r="C633">
        <v>21</v>
      </c>
      <c r="D633" s="6">
        <v>8976.2199999999993</v>
      </c>
      <c r="E633" s="6">
        <v>2962.15</v>
      </c>
      <c r="F633" s="6">
        <v>2962.1600000000003</v>
      </c>
      <c r="G633" s="6">
        <v>2055.5500000000002</v>
      </c>
      <c r="H633" s="6">
        <f>SUM(Table134[[#This Row],[NOVEMBER PAYMENT]:[MAY PAYMENT 
(BUDGET REDUCTION)]])</f>
        <v>7979.8600000000006</v>
      </c>
    </row>
    <row r="634" spans="1:8" x14ac:dyDescent="0.25">
      <c r="A634" t="str">
        <f>"125260"</f>
        <v>125260</v>
      </c>
      <c r="B634" t="s">
        <v>522</v>
      </c>
      <c r="C634">
        <v>47</v>
      </c>
      <c r="D634" s="6">
        <v>20089.64</v>
      </c>
      <c r="E634" s="6">
        <v>6629.58</v>
      </c>
      <c r="F634" s="6">
        <v>6629.58</v>
      </c>
      <c r="G634" s="6">
        <v>4600.53</v>
      </c>
      <c r="H634" s="6">
        <f>SUM(Table134[[#This Row],[NOVEMBER PAYMENT]:[MAY PAYMENT 
(BUDGET REDUCTION)]])</f>
        <v>17859.689999999999</v>
      </c>
    </row>
    <row r="635" spans="1:8" x14ac:dyDescent="0.25">
      <c r="A635" t="str">
        <f>"125278"</f>
        <v>125278</v>
      </c>
      <c r="B635" t="s">
        <v>523</v>
      </c>
      <c r="C635">
        <v>304</v>
      </c>
      <c r="D635" s="6">
        <v>127809.55</v>
      </c>
      <c r="E635" s="6">
        <v>42177.15</v>
      </c>
      <c r="F635" s="6">
        <v>42177.15</v>
      </c>
      <c r="G635" s="6">
        <v>29268.39</v>
      </c>
      <c r="H635" s="6">
        <f>SUM(Table134[[#This Row],[NOVEMBER PAYMENT]:[MAY PAYMENT 
(BUDGET REDUCTION)]])</f>
        <v>113622.69</v>
      </c>
    </row>
    <row r="636" spans="1:8" x14ac:dyDescent="0.25">
      <c r="A636" t="str">
        <f>"125310"</f>
        <v>125310</v>
      </c>
      <c r="B636" t="s">
        <v>524</v>
      </c>
      <c r="C636">
        <v>346</v>
      </c>
      <c r="D636" s="6">
        <v>147893.97</v>
      </c>
      <c r="E636" s="6">
        <v>48805.01</v>
      </c>
      <c r="F636" s="6">
        <v>48805.01</v>
      </c>
      <c r="G636" s="6">
        <v>33867.72</v>
      </c>
      <c r="H636" s="6">
        <f>SUM(Table134[[#This Row],[NOVEMBER PAYMENT]:[MAY PAYMENT 
(BUDGET REDUCTION)]])</f>
        <v>131477.74</v>
      </c>
    </row>
    <row r="637" spans="1:8" x14ac:dyDescent="0.25">
      <c r="A637" t="str">
        <f>"125997"</f>
        <v>125997</v>
      </c>
      <c r="B637" t="s">
        <v>525</v>
      </c>
      <c r="C637">
        <v>16</v>
      </c>
      <c r="D637" s="6">
        <v>6839.03</v>
      </c>
      <c r="E637" s="6">
        <v>2256.88</v>
      </c>
      <c r="F637" s="6">
        <v>2256.88</v>
      </c>
      <c r="G637" s="6">
        <v>1566.14</v>
      </c>
      <c r="H637" s="6">
        <f>SUM(Table134[[#This Row],[NOVEMBER PAYMENT]:[MAY PAYMENT 
(BUDGET REDUCTION)]])</f>
        <v>6079.9000000000005</v>
      </c>
    </row>
    <row r="638" spans="1:8" x14ac:dyDescent="0.25">
      <c r="A638" t="str">
        <f>"126144"</f>
        <v>126144</v>
      </c>
      <c r="B638" t="s">
        <v>526</v>
      </c>
      <c r="C638">
        <v>256</v>
      </c>
      <c r="D638" s="6">
        <v>109424.44</v>
      </c>
      <c r="E638" s="6">
        <v>36110.07</v>
      </c>
      <c r="F638" s="6">
        <v>36110.060000000005</v>
      </c>
      <c r="G638" s="6">
        <v>25058.2</v>
      </c>
      <c r="H638" s="6">
        <f>SUM(Table134[[#This Row],[NOVEMBER PAYMENT]:[MAY PAYMENT 
(BUDGET REDUCTION)]])</f>
        <v>97278.33</v>
      </c>
    </row>
    <row r="639" spans="1:8" x14ac:dyDescent="0.25">
      <c r="A639" t="str">
        <f>"126151"</f>
        <v>126151</v>
      </c>
      <c r="B639" t="s">
        <v>527</v>
      </c>
      <c r="C639">
        <v>16</v>
      </c>
      <c r="D639" s="6">
        <v>6549.6</v>
      </c>
      <c r="E639" s="6">
        <v>2161.37</v>
      </c>
      <c r="F639" s="6">
        <v>2161.37</v>
      </c>
      <c r="G639" s="6">
        <v>1499.85</v>
      </c>
      <c r="H639" s="6">
        <f>SUM(Table134[[#This Row],[NOVEMBER PAYMENT]:[MAY PAYMENT 
(BUDGET REDUCTION)]])</f>
        <v>5822.59</v>
      </c>
    </row>
    <row r="640" spans="1:8" x14ac:dyDescent="0.25">
      <c r="A640" t="str">
        <f>"126417"</f>
        <v>126417</v>
      </c>
      <c r="B640" t="s">
        <v>528</v>
      </c>
      <c r="C640">
        <v>365</v>
      </c>
      <c r="D640" s="6">
        <v>156015.32</v>
      </c>
      <c r="E640" s="6">
        <v>51485.06</v>
      </c>
      <c r="F640" s="6">
        <v>51485.05</v>
      </c>
      <c r="G640" s="6">
        <v>35727.51</v>
      </c>
      <c r="H640" s="6">
        <f>SUM(Table134[[#This Row],[NOVEMBER PAYMENT]:[MAY PAYMENT 
(BUDGET REDUCTION)]])</f>
        <v>138697.62</v>
      </c>
    </row>
    <row r="641" spans="1:8" x14ac:dyDescent="0.25">
      <c r="A641" t="str">
        <f>"126599"</f>
        <v>126599</v>
      </c>
      <c r="B641" t="s">
        <v>529</v>
      </c>
      <c r="C641">
        <v>423</v>
      </c>
      <c r="D641" s="6">
        <v>180806.79</v>
      </c>
      <c r="E641" s="6">
        <v>59666.239999999998</v>
      </c>
      <c r="F641" s="6">
        <v>59666.239999999998</v>
      </c>
      <c r="G641" s="6">
        <v>41404.76</v>
      </c>
      <c r="H641" s="6">
        <f>SUM(Table134[[#This Row],[NOVEMBER PAYMENT]:[MAY PAYMENT 
(BUDGET REDUCTION)]])</f>
        <v>160737.24</v>
      </c>
    </row>
    <row r="642" spans="1:8" x14ac:dyDescent="0.25">
      <c r="A642" t="str">
        <f>"126615"</f>
        <v>126615</v>
      </c>
      <c r="B642" t="s">
        <v>530</v>
      </c>
      <c r="C642">
        <v>730</v>
      </c>
      <c r="D642" s="6">
        <v>156015.32</v>
      </c>
      <c r="E642" s="6">
        <v>51485.06</v>
      </c>
      <c r="F642" s="6">
        <v>51485.05</v>
      </c>
      <c r="G642" s="6">
        <v>35727.51</v>
      </c>
      <c r="H642" s="6">
        <f>SUM(Table134[[#This Row],[NOVEMBER PAYMENT]:[MAY PAYMENT 
(BUDGET REDUCTION)]])</f>
        <v>138697.62</v>
      </c>
    </row>
    <row r="643" spans="1:8" x14ac:dyDescent="0.25">
      <c r="A643" t="str">
        <f>"132282"</f>
        <v>132282</v>
      </c>
      <c r="B643" t="s">
        <v>531</v>
      </c>
      <c r="C643">
        <v>136</v>
      </c>
      <c r="D643" s="6">
        <v>58131.73</v>
      </c>
      <c r="E643" s="6">
        <v>19183.47</v>
      </c>
      <c r="F643" s="6">
        <v>19183.47</v>
      </c>
      <c r="G643" s="6">
        <v>13312.17</v>
      </c>
      <c r="H643" s="6">
        <f>SUM(Table134[[#This Row],[NOVEMBER PAYMENT]:[MAY PAYMENT 
(BUDGET REDUCTION)]])</f>
        <v>51679.11</v>
      </c>
    </row>
    <row r="644" spans="1:8" x14ac:dyDescent="0.25">
      <c r="A644" t="str">
        <f>"132316"</f>
        <v>132316</v>
      </c>
      <c r="B644" t="s">
        <v>532</v>
      </c>
      <c r="C644">
        <v>58</v>
      </c>
      <c r="D644" s="6">
        <v>3114.75</v>
      </c>
      <c r="E644" s="6">
        <v>1027.8699999999999</v>
      </c>
      <c r="F644" s="6">
        <v>1027.8699999999999</v>
      </c>
      <c r="G644" s="6">
        <v>713.27</v>
      </c>
      <c r="H644" s="6">
        <f>SUM(Table134[[#This Row],[NOVEMBER PAYMENT]:[MAY PAYMENT 
(BUDGET REDUCTION)]])</f>
        <v>2769.0099999999998</v>
      </c>
    </row>
    <row r="645" spans="1:8" x14ac:dyDescent="0.25">
      <c r="A645" t="str">
        <f>"132365"</f>
        <v>132365</v>
      </c>
      <c r="B645" t="s">
        <v>533</v>
      </c>
      <c r="C645">
        <v>13</v>
      </c>
      <c r="D645" s="6">
        <v>5556.71</v>
      </c>
      <c r="E645" s="6">
        <v>1833.71</v>
      </c>
      <c r="F645" s="6">
        <v>1833.7199999999998</v>
      </c>
      <c r="G645" s="6">
        <v>1272.49</v>
      </c>
      <c r="H645" s="6">
        <f>SUM(Table134[[#This Row],[NOVEMBER PAYMENT]:[MAY PAYMENT 
(BUDGET REDUCTION)]])</f>
        <v>4939.92</v>
      </c>
    </row>
    <row r="646" spans="1:8" x14ac:dyDescent="0.25">
      <c r="A646" t="str">
        <f>"132373"</f>
        <v>132373</v>
      </c>
      <c r="B646" t="s">
        <v>534</v>
      </c>
      <c r="C646">
        <v>114</v>
      </c>
      <c r="D646" s="6">
        <v>47613.51</v>
      </c>
      <c r="E646" s="6">
        <v>15712.46</v>
      </c>
      <c r="F646" s="6">
        <v>15712.46</v>
      </c>
      <c r="G646" s="6">
        <v>10903.49</v>
      </c>
      <c r="H646" s="6">
        <f>SUM(Table134[[#This Row],[NOVEMBER PAYMENT]:[MAY PAYMENT 
(BUDGET REDUCTION)]])</f>
        <v>42328.409999999996</v>
      </c>
    </row>
    <row r="647" spans="1:8" x14ac:dyDescent="0.25">
      <c r="A647" t="str">
        <f>"132399"</f>
        <v>132399</v>
      </c>
      <c r="B647" t="s">
        <v>535</v>
      </c>
      <c r="C647">
        <v>103</v>
      </c>
      <c r="D647" s="6">
        <v>44026.239999999998</v>
      </c>
      <c r="E647" s="6">
        <v>14528.66</v>
      </c>
      <c r="F647" s="6">
        <v>14528.66</v>
      </c>
      <c r="G647" s="6">
        <v>10082.01</v>
      </c>
      <c r="H647" s="6">
        <f>SUM(Table134[[#This Row],[NOVEMBER PAYMENT]:[MAY PAYMENT 
(BUDGET REDUCTION)]])</f>
        <v>39139.33</v>
      </c>
    </row>
    <row r="648" spans="1:8" x14ac:dyDescent="0.25">
      <c r="A648" t="str">
        <f>"132456"</f>
        <v>132456</v>
      </c>
      <c r="B648" t="s">
        <v>536</v>
      </c>
      <c r="C648">
        <v>6</v>
      </c>
      <c r="D648" s="6">
        <v>2564.64</v>
      </c>
      <c r="E648" s="6">
        <v>846.33</v>
      </c>
      <c r="F648" s="6">
        <v>846.33</v>
      </c>
      <c r="G648" s="6">
        <v>587.29999999999995</v>
      </c>
      <c r="H648" s="6">
        <f>SUM(Table134[[#This Row],[NOVEMBER PAYMENT]:[MAY PAYMENT 
(BUDGET REDUCTION)]])</f>
        <v>2279.96</v>
      </c>
    </row>
    <row r="649" spans="1:8" x14ac:dyDescent="0.25">
      <c r="A649" t="str">
        <f>"132498"</f>
        <v>132498</v>
      </c>
      <c r="B649" t="s">
        <v>537</v>
      </c>
      <c r="C649">
        <v>131</v>
      </c>
      <c r="D649" s="6">
        <v>55994.54</v>
      </c>
      <c r="E649" s="6">
        <v>18478.2</v>
      </c>
      <c r="F649" s="6">
        <v>18478.2</v>
      </c>
      <c r="G649" s="6">
        <v>12822.75</v>
      </c>
      <c r="H649" s="6">
        <f>SUM(Table134[[#This Row],[NOVEMBER PAYMENT]:[MAY PAYMENT 
(BUDGET REDUCTION)]])</f>
        <v>49779.15</v>
      </c>
    </row>
    <row r="650" spans="1:8" x14ac:dyDescent="0.25">
      <c r="A650" t="str">
        <f>"132506"</f>
        <v>132506</v>
      </c>
      <c r="B650" t="s">
        <v>538</v>
      </c>
      <c r="C650">
        <v>46</v>
      </c>
      <c r="D650" s="6">
        <v>19662.2</v>
      </c>
      <c r="E650" s="6">
        <v>6488.53</v>
      </c>
      <c r="F650" s="6">
        <v>6488.5199999999995</v>
      </c>
      <c r="G650" s="6">
        <v>4502.6499999999996</v>
      </c>
      <c r="H650" s="6">
        <f>SUM(Table134[[#This Row],[NOVEMBER PAYMENT]:[MAY PAYMENT 
(BUDGET REDUCTION)]])</f>
        <v>17479.699999999997</v>
      </c>
    </row>
    <row r="651" spans="1:8" x14ac:dyDescent="0.25">
      <c r="A651" t="str">
        <f>"132530"</f>
        <v>132530</v>
      </c>
      <c r="B651" t="s">
        <v>539</v>
      </c>
      <c r="C651">
        <v>343</v>
      </c>
      <c r="D651" s="6">
        <v>146611.65</v>
      </c>
      <c r="E651" s="6">
        <v>48381.84</v>
      </c>
      <c r="F651" s="6">
        <v>48381.850000000006</v>
      </c>
      <c r="G651" s="6">
        <v>33574.07</v>
      </c>
      <c r="H651" s="6">
        <f>SUM(Table134[[#This Row],[NOVEMBER PAYMENT]:[MAY PAYMENT 
(BUDGET REDUCTION)]])</f>
        <v>130337.76000000001</v>
      </c>
    </row>
    <row r="652" spans="1:8" x14ac:dyDescent="0.25">
      <c r="A652" t="str">
        <f>"132571"</f>
        <v>132571</v>
      </c>
      <c r="B652" t="s">
        <v>540</v>
      </c>
      <c r="C652">
        <v>4</v>
      </c>
      <c r="D652" s="6">
        <v>1709.76</v>
      </c>
      <c r="E652" s="6">
        <v>564.22</v>
      </c>
      <c r="F652" s="6">
        <v>564.22</v>
      </c>
      <c r="G652" s="6">
        <v>391.54</v>
      </c>
      <c r="H652" s="6">
        <f>SUM(Table134[[#This Row],[NOVEMBER PAYMENT]:[MAY PAYMENT 
(BUDGET REDUCTION)]])</f>
        <v>1519.98</v>
      </c>
    </row>
    <row r="653" spans="1:8" x14ac:dyDescent="0.25">
      <c r="A653" t="str">
        <f>"132597"</f>
        <v>132597</v>
      </c>
      <c r="B653" t="s">
        <v>541</v>
      </c>
      <c r="C653">
        <v>24</v>
      </c>
      <c r="D653" s="6">
        <v>10258.540000000001</v>
      </c>
      <c r="E653" s="6">
        <v>3385.32</v>
      </c>
      <c r="F653" s="6">
        <v>3385.32</v>
      </c>
      <c r="G653" s="6">
        <v>2349.1999999999998</v>
      </c>
      <c r="H653" s="6">
        <f>SUM(Table134[[#This Row],[NOVEMBER PAYMENT]:[MAY PAYMENT 
(BUDGET REDUCTION)]])</f>
        <v>9119.84</v>
      </c>
    </row>
    <row r="654" spans="1:8" x14ac:dyDescent="0.25">
      <c r="A654" t="str">
        <f>"132621"</f>
        <v>132621</v>
      </c>
      <c r="B654" t="s">
        <v>542</v>
      </c>
      <c r="C654">
        <v>12</v>
      </c>
      <c r="D654" s="6">
        <v>5129.2700000000004</v>
      </c>
      <c r="E654" s="6">
        <v>1692.66</v>
      </c>
      <c r="F654" s="6">
        <v>1692.66</v>
      </c>
      <c r="G654" s="6">
        <v>1174.5999999999999</v>
      </c>
      <c r="H654" s="6">
        <f>SUM(Table134[[#This Row],[NOVEMBER PAYMENT]:[MAY PAYMENT 
(BUDGET REDUCTION)]])</f>
        <v>4559.92</v>
      </c>
    </row>
    <row r="655" spans="1:8" x14ac:dyDescent="0.25">
      <c r="A655" t="str">
        <f>"132647"</f>
        <v>132647</v>
      </c>
      <c r="B655" t="s">
        <v>543</v>
      </c>
      <c r="C655">
        <v>122</v>
      </c>
      <c r="D655" s="6">
        <v>52147.58</v>
      </c>
      <c r="E655" s="6">
        <v>17208.7</v>
      </c>
      <c r="F655" s="6">
        <v>17208.7</v>
      </c>
      <c r="G655" s="6">
        <v>11941.8</v>
      </c>
      <c r="H655" s="6">
        <f>SUM(Table134[[#This Row],[NOVEMBER PAYMENT]:[MAY PAYMENT 
(BUDGET REDUCTION)]])</f>
        <v>46359.199999999997</v>
      </c>
    </row>
    <row r="656" spans="1:8" x14ac:dyDescent="0.25">
      <c r="A656" t="str">
        <f>"132662"</f>
        <v>132662</v>
      </c>
      <c r="B656" t="s">
        <v>544</v>
      </c>
      <c r="C656">
        <v>22</v>
      </c>
      <c r="D656" s="6">
        <v>9403.66</v>
      </c>
      <c r="E656" s="6">
        <v>3103.21</v>
      </c>
      <c r="F656" s="6">
        <v>3103.21</v>
      </c>
      <c r="G656" s="6">
        <v>2153.4299999999998</v>
      </c>
      <c r="H656" s="6">
        <f>SUM(Table134[[#This Row],[NOVEMBER PAYMENT]:[MAY PAYMENT 
(BUDGET REDUCTION)]])</f>
        <v>8359.85</v>
      </c>
    </row>
    <row r="657" spans="1:8" x14ac:dyDescent="0.25">
      <c r="A657" t="str">
        <f>"132688"</f>
        <v>132688</v>
      </c>
      <c r="B657" t="s">
        <v>545</v>
      </c>
      <c r="C657">
        <v>15</v>
      </c>
      <c r="D657" s="6">
        <v>3122.09</v>
      </c>
      <c r="E657" s="6">
        <v>1030.29</v>
      </c>
      <c r="F657" s="6">
        <v>1030.29</v>
      </c>
      <c r="G657" s="6">
        <v>714.99</v>
      </c>
      <c r="H657" s="6">
        <f>SUM(Table134[[#This Row],[NOVEMBER PAYMENT]:[MAY PAYMENT 
(BUDGET REDUCTION)]])</f>
        <v>2775.5699999999997</v>
      </c>
    </row>
    <row r="658" spans="1:8" x14ac:dyDescent="0.25">
      <c r="A658" t="str">
        <f>"132696"</f>
        <v>132696</v>
      </c>
      <c r="B658" t="s">
        <v>546</v>
      </c>
      <c r="C658">
        <v>61</v>
      </c>
      <c r="D658" s="6">
        <v>26073.79</v>
      </c>
      <c r="E658" s="6">
        <v>8604.35</v>
      </c>
      <c r="F658" s="6">
        <v>8604.35</v>
      </c>
      <c r="G658" s="6">
        <v>5970.9</v>
      </c>
      <c r="H658" s="6">
        <f>SUM(Table134[[#This Row],[NOVEMBER PAYMENT]:[MAY PAYMENT 
(BUDGET REDUCTION)]])</f>
        <v>23179.599999999999</v>
      </c>
    </row>
    <row r="659" spans="1:8" x14ac:dyDescent="0.25">
      <c r="A659" t="str">
        <f>"132704"</f>
        <v>132704</v>
      </c>
      <c r="B659" t="s">
        <v>547</v>
      </c>
      <c r="C659">
        <v>75</v>
      </c>
      <c r="D659" s="6">
        <v>32057.94</v>
      </c>
      <c r="E659" s="6">
        <v>10579.12</v>
      </c>
      <c r="F659" s="6">
        <v>10579.12</v>
      </c>
      <c r="G659" s="6">
        <v>7341.27</v>
      </c>
      <c r="H659" s="6">
        <f>SUM(Table134[[#This Row],[NOVEMBER PAYMENT]:[MAY PAYMENT 
(BUDGET REDUCTION)]])</f>
        <v>28499.510000000002</v>
      </c>
    </row>
    <row r="660" spans="1:8" x14ac:dyDescent="0.25">
      <c r="A660" t="str">
        <f>"132712"</f>
        <v>132712</v>
      </c>
      <c r="B660" t="s">
        <v>548</v>
      </c>
      <c r="C660">
        <v>134</v>
      </c>
      <c r="D660" s="6">
        <v>57276.86</v>
      </c>
      <c r="E660" s="6">
        <v>18901.36</v>
      </c>
      <c r="F660" s="6">
        <v>18901.370000000003</v>
      </c>
      <c r="G660" s="6">
        <v>13116.4</v>
      </c>
      <c r="H660" s="6">
        <f>SUM(Table134[[#This Row],[NOVEMBER PAYMENT]:[MAY PAYMENT 
(BUDGET REDUCTION)]])</f>
        <v>50919.130000000005</v>
      </c>
    </row>
    <row r="661" spans="1:8" x14ac:dyDescent="0.25">
      <c r="A661" t="str">
        <f>"132829"</f>
        <v>132829</v>
      </c>
      <c r="B661" t="s">
        <v>549</v>
      </c>
      <c r="C661">
        <v>74</v>
      </c>
      <c r="D661" s="6">
        <v>31630.5</v>
      </c>
      <c r="E661" s="6">
        <v>10438.07</v>
      </c>
      <c r="F661" s="6">
        <v>10438.060000000001</v>
      </c>
      <c r="G661" s="6">
        <v>7243.38</v>
      </c>
      <c r="H661" s="6">
        <f>SUM(Table134[[#This Row],[NOVEMBER PAYMENT]:[MAY PAYMENT 
(BUDGET REDUCTION)]])</f>
        <v>28119.510000000002</v>
      </c>
    </row>
    <row r="662" spans="1:8" x14ac:dyDescent="0.25">
      <c r="A662" t="str">
        <f>"132837"</f>
        <v>132837</v>
      </c>
      <c r="B662" t="s">
        <v>550</v>
      </c>
      <c r="C662">
        <v>12</v>
      </c>
      <c r="D662" s="6">
        <v>5129.2700000000004</v>
      </c>
      <c r="E662" s="6">
        <v>1692.66</v>
      </c>
      <c r="F662" s="6">
        <v>1692.66</v>
      </c>
      <c r="G662" s="6">
        <v>1174.5999999999999</v>
      </c>
      <c r="H662" s="6">
        <f>SUM(Table134[[#This Row],[NOVEMBER PAYMENT]:[MAY PAYMENT 
(BUDGET REDUCTION)]])</f>
        <v>4559.92</v>
      </c>
    </row>
    <row r="663" spans="1:8" x14ac:dyDescent="0.25">
      <c r="A663" t="str">
        <f>"132878"</f>
        <v>132878</v>
      </c>
      <c r="B663" t="s">
        <v>551</v>
      </c>
      <c r="C663">
        <v>149</v>
      </c>
      <c r="D663" s="6">
        <v>63688.44</v>
      </c>
      <c r="E663" s="6">
        <v>21017.19</v>
      </c>
      <c r="F663" s="6">
        <v>21017.180000000004</v>
      </c>
      <c r="G663" s="6">
        <v>14584.65</v>
      </c>
      <c r="H663" s="6">
        <f>SUM(Table134[[#This Row],[NOVEMBER PAYMENT]:[MAY PAYMENT 
(BUDGET REDUCTION)]])</f>
        <v>56619.020000000004</v>
      </c>
    </row>
    <row r="664" spans="1:8" x14ac:dyDescent="0.25">
      <c r="A664" t="str">
        <f>"132928"</f>
        <v>132928</v>
      </c>
      <c r="B664" t="s">
        <v>83</v>
      </c>
      <c r="C664">
        <v>120</v>
      </c>
      <c r="D664" s="6">
        <v>51292.71</v>
      </c>
      <c r="E664" s="6">
        <v>16926.59</v>
      </c>
      <c r="F664" s="6">
        <v>16926.600000000002</v>
      </c>
      <c r="G664" s="6">
        <v>11746.03</v>
      </c>
      <c r="H664" s="6">
        <f>SUM(Table134[[#This Row],[NOVEMBER PAYMENT]:[MAY PAYMENT 
(BUDGET REDUCTION)]])</f>
        <v>45599.22</v>
      </c>
    </row>
    <row r="665" spans="1:8" x14ac:dyDescent="0.25">
      <c r="A665" t="str">
        <f>"132936"</f>
        <v>132936</v>
      </c>
      <c r="B665" t="s">
        <v>552</v>
      </c>
      <c r="C665">
        <v>15</v>
      </c>
      <c r="D665" s="6">
        <v>2671.02</v>
      </c>
      <c r="E665" s="6">
        <v>881.44</v>
      </c>
      <c r="F665" s="6">
        <v>881.42999999999984</v>
      </c>
      <c r="G665" s="6">
        <v>611.66999999999996</v>
      </c>
      <c r="H665" s="6">
        <f>SUM(Table134[[#This Row],[NOVEMBER PAYMENT]:[MAY PAYMENT 
(BUDGET REDUCTION)]])</f>
        <v>2374.54</v>
      </c>
    </row>
    <row r="666" spans="1:8" x14ac:dyDescent="0.25">
      <c r="A666" t="str">
        <f>"133025"</f>
        <v>133025</v>
      </c>
      <c r="B666" t="s">
        <v>553</v>
      </c>
      <c r="C666">
        <v>11</v>
      </c>
      <c r="D666" s="6">
        <v>4701.83</v>
      </c>
      <c r="E666" s="6">
        <v>1551.6</v>
      </c>
      <c r="F666" s="6">
        <v>1551.6100000000001</v>
      </c>
      <c r="G666" s="6">
        <v>1076.72</v>
      </c>
      <c r="H666" s="6">
        <f>SUM(Table134[[#This Row],[NOVEMBER PAYMENT]:[MAY PAYMENT 
(BUDGET REDUCTION)]])</f>
        <v>4179.93</v>
      </c>
    </row>
    <row r="667" spans="1:8" x14ac:dyDescent="0.25">
      <c r="A667" t="str">
        <f>"133033"</f>
        <v>133033</v>
      </c>
      <c r="B667" t="s">
        <v>554</v>
      </c>
      <c r="C667">
        <v>75</v>
      </c>
      <c r="D667" s="6">
        <v>32057.94</v>
      </c>
      <c r="E667" s="6">
        <v>10579.12</v>
      </c>
      <c r="F667" s="6">
        <v>10579.12</v>
      </c>
      <c r="G667" s="6">
        <v>7341.27</v>
      </c>
      <c r="H667" s="6">
        <f>SUM(Table134[[#This Row],[NOVEMBER PAYMENT]:[MAY PAYMENT 
(BUDGET REDUCTION)]])</f>
        <v>28499.510000000002</v>
      </c>
    </row>
    <row r="668" spans="1:8" x14ac:dyDescent="0.25">
      <c r="A668" t="str">
        <f>"133041"</f>
        <v>133041</v>
      </c>
      <c r="B668" t="s">
        <v>555</v>
      </c>
      <c r="C668">
        <v>11</v>
      </c>
      <c r="D668" s="6">
        <v>4701.83</v>
      </c>
      <c r="E668" s="6">
        <v>1551.6</v>
      </c>
      <c r="F668" s="6">
        <v>1551.6100000000001</v>
      </c>
      <c r="G668" s="6">
        <v>1076.72</v>
      </c>
      <c r="H668" s="6">
        <f>SUM(Table134[[#This Row],[NOVEMBER PAYMENT]:[MAY PAYMENT 
(BUDGET REDUCTION)]])</f>
        <v>4179.93</v>
      </c>
    </row>
    <row r="669" spans="1:8" x14ac:dyDescent="0.25">
      <c r="A669" t="str">
        <f>"133082"</f>
        <v>133082</v>
      </c>
      <c r="B669" t="s">
        <v>556</v>
      </c>
      <c r="C669">
        <v>107</v>
      </c>
      <c r="D669" s="6">
        <v>41599.160000000003</v>
      </c>
      <c r="E669" s="6">
        <v>13727.72</v>
      </c>
      <c r="F669" s="6">
        <v>13727.730000000001</v>
      </c>
      <c r="G669" s="6">
        <v>9526.2000000000007</v>
      </c>
      <c r="H669" s="6">
        <f>SUM(Table134[[#This Row],[NOVEMBER PAYMENT]:[MAY PAYMENT 
(BUDGET REDUCTION)]])</f>
        <v>36981.65</v>
      </c>
    </row>
    <row r="670" spans="1:8" x14ac:dyDescent="0.25">
      <c r="A670" t="str">
        <f>"133090"</f>
        <v>133090</v>
      </c>
      <c r="B670" t="s">
        <v>557</v>
      </c>
      <c r="C670">
        <v>6</v>
      </c>
      <c r="D670" s="6">
        <v>2564.64</v>
      </c>
      <c r="E670" s="6">
        <v>846.33</v>
      </c>
      <c r="F670" s="6">
        <v>846.33</v>
      </c>
      <c r="G670" s="6">
        <v>587.29999999999995</v>
      </c>
      <c r="H670" s="6">
        <f>SUM(Table134[[#This Row],[NOVEMBER PAYMENT]:[MAY PAYMENT 
(BUDGET REDUCTION)]])</f>
        <v>2279.96</v>
      </c>
    </row>
    <row r="671" spans="1:8" x14ac:dyDescent="0.25">
      <c r="A671" t="str">
        <f>"133116"</f>
        <v>133116</v>
      </c>
      <c r="B671" t="s">
        <v>558</v>
      </c>
      <c r="C671">
        <v>41</v>
      </c>
      <c r="D671" s="6">
        <v>17525.009999999998</v>
      </c>
      <c r="E671" s="6">
        <v>5783.25</v>
      </c>
      <c r="F671" s="6">
        <v>5783.26</v>
      </c>
      <c r="G671" s="6">
        <v>4013.22</v>
      </c>
      <c r="H671" s="6">
        <f>SUM(Table134[[#This Row],[NOVEMBER PAYMENT]:[MAY PAYMENT 
(BUDGET REDUCTION)]])</f>
        <v>15579.73</v>
      </c>
    </row>
    <row r="672" spans="1:8" x14ac:dyDescent="0.25">
      <c r="A672" t="str">
        <f>"133132"</f>
        <v>133132</v>
      </c>
      <c r="B672" t="s">
        <v>559</v>
      </c>
      <c r="C672">
        <v>28</v>
      </c>
      <c r="D672" s="6">
        <v>11968.3</v>
      </c>
      <c r="E672" s="6">
        <v>3949.54</v>
      </c>
      <c r="F672" s="6">
        <v>3949.54</v>
      </c>
      <c r="G672" s="6">
        <v>2740.74</v>
      </c>
      <c r="H672" s="6">
        <f>SUM(Table134[[#This Row],[NOVEMBER PAYMENT]:[MAY PAYMENT 
(BUDGET REDUCTION)]])</f>
        <v>10639.82</v>
      </c>
    </row>
    <row r="673" spans="1:8" x14ac:dyDescent="0.25">
      <c r="A673" t="str">
        <f>"133140"</f>
        <v>133140</v>
      </c>
      <c r="B673" t="s">
        <v>43</v>
      </c>
      <c r="C673">
        <v>389</v>
      </c>
      <c r="D673" s="6">
        <v>166273.85999999999</v>
      </c>
      <c r="E673" s="6">
        <v>54870.37</v>
      </c>
      <c r="F673" s="6">
        <v>54870.38</v>
      </c>
      <c r="G673" s="6">
        <v>38076.71</v>
      </c>
      <c r="H673" s="6">
        <f>SUM(Table134[[#This Row],[NOVEMBER PAYMENT]:[MAY PAYMENT 
(BUDGET REDUCTION)]])</f>
        <v>147817.46</v>
      </c>
    </row>
    <row r="674" spans="1:8" x14ac:dyDescent="0.25">
      <c r="A674" t="str">
        <f>"133165"</f>
        <v>133165</v>
      </c>
      <c r="B674" t="s">
        <v>560</v>
      </c>
      <c r="C674">
        <v>21</v>
      </c>
      <c r="D674" s="6">
        <v>8976.2199999999993</v>
      </c>
      <c r="E674" s="6">
        <v>2962.15</v>
      </c>
      <c r="F674" s="6">
        <v>2962.1600000000003</v>
      </c>
      <c r="G674" s="6">
        <v>2055.5500000000002</v>
      </c>
      <c r="H674" s="6">
        <f>SUM(Table134[[#This Row],[NOVEMBER PAYMENT]:[MAY PAYMENT 
(BUDGET REDUCTION)]])</f>
        <v>7979.8600000000006</v>
      </c>
    </row>
    <row r="675" spans="1:8" x14ac:dyDescent="0.25">
      <c r="A675" t="str">
        <f>"133207"</f>
        <v>133207</v>
      </c>
      <c r="B675" t="s">
        <v>561</v>
      </c>
      <c r="C675">
        <v>104</v>
      </c>
      <c r="D675" s="6">
        <v>44453.68</v>
      </c>
      <c r="E675" s="6">
        <v>14669.71</v>
      </c>
      <c r="F675" s="6">
        <v>14669.720000000001</v>
      </c>
      <c r="G675" s="6">
        <v>10179.89</v>
      </c>
      <c r="H675" s="6">
        <f>SUM(Table134[[#This Row],[NOVEMBER PAYMENT]:[MAY PAYMENT 
(BUDGET REDUCTION)]])</f>
        <v>39519.32</v>
      </c>
    </row>
    <row r="676" spans="1:8" x14ac:dyDescent="0.25">
      <c r="A676" t="str">
        <f>"134304"</f>
        <v>134304</v>
      </c>
      <c r="B676" t="s">
        <v>562</v>
      </c>
      <c r="C676">
        <v>67</v>
      </c>
      <c r="D676" s="6">
        <v>26121.93</v>
      </c>
      <c r="E676" s="6">
        <v>8620.24</v>
      </c>
      <c r="F676" s="6">
        <v>8620.2300000000014</v>
      </c>
      <c r="G676" s="6">
        <v>5981.93</v>
      </c>
      <c r="H676" s="6">
        <f>SUM(Table134[[#This Row],[NOVEMBER PAYMENT]:[MAY PAYMENT 
(BUDGET REDUCTION)]])</f>
        <v>23222.400000000001</v>
      </c>
    </row>
    <row r="677" spans="1:8" x14ac:dyDescent="0.25">
      <c r="A677" t="str">
        <f>"134312"</f>
        <v>134312</v>
      </c>
      <c r="B677" t="s">
        <v>563</v>
      </c>
      <c r="C677">
        <v>534</v>
      </c>
      <c r="D677" s="6">
        <v>228252.54</v>
      </c>
      <c r="E677" s="6">
        <v>75323.34</v>
      </c>
      <c r="F677" s="6">
        <v>75323.34</v>
      </c>
      <c r="G677" s="6">
        <v>52269.83</v>
      </c>
      <c r="H677" s="6">
        <f>SUM(Table134[[#This Row],[NOVEMBER PAYMENT]:[MAY PAYMENT 
(BUDGET REDUCTION)]])</f>
        <v>202916.51</v>
      </c>
    </row>
    <row r="678" spans="1:8" x14ac:dyDescent="0.25">
      <c r="A678" t="str">
        <f>"134338"</f>
        <v>134338</v>
      </c>
      <c r="B678" t="s">
        <v>564</v>
      </c>
      <c r="C678">
        <v>206</v>
      </c>
      <c r="D678" s="6">
        <v>88052.479999999996</v>
      </c>
      <c r="E678" s="6">
        <v>29057.32</v>
      </c>
      <c r="F678" s="6">
        <v>29057.32</v>
      </c>
      <c r="G678" s="6">
        <v>20164.009999999998</v>
      </c>
      <c r="H678" s="6">
        <f>SUM(Table134[[#This Row],[NOVEMBER PAYMENT]:[MAY PAYMENT 
(BUDGET REDUCTION)]])</f>
        <v>78278.649999999994</v>
      </c>
    </row>
    <row r="679" spans="1:8" x14ac:dyDescent="0.25">
      <c r="A679" t="str">
        <f>"134353"</f>
        <v>134353</v>
      </c>
      <c r="B679" t="s">
        <v>565</v>
      </c>
      <c r="C679">
        <v>148</v>
      </c>
      <c r="D679" s="6">
        <v>63261</v>
      </c>
      <c r="E679" s="6">
        <v>20876.13</v>
      </c>
      <c r="F679" s="6">
        <v>20876.13</v>
      </c>
      <c r="G679" s="6">
        <v>14486.77</v>
      </c>
      <c r="H679" s="6">
        <f>SUM(Table134[[#This Row],[NOVEMBER PAYMENT]:[MAY PAYMENT 
(BUDGET REDUCTION)]])</f>
        <v>56239.03</v>
      </c>
    </row>
    <row r="680" spans="1:8" x14ac:dyDescent="0.25">
      <c r="A680" t="str">
        <f>"134387"</f>
        <v>134387</v>
      </c>
      <c r="B680" t="s">
        <v>566</v>
      </c>
      <c r="C680">
        <v>149</v>
      </c>
      <c r="D680" s="6">
        <v>63688.44</v>
      </c>
      <c r="E680" s="6">
        <v>21017.19</v>
      </c>
      <c r="F680" s="6">
        <v>21017.180000000004</v>
      </c>
      <c r="G680" s="6">
        <v>14584.65</v>
      </c>
      <c r="H680" s="6">
        <f>SUM(Table134[[#This Row],[NOVEMBER PAYMENT]:[MAY PAYMENT 
(BUDGET REDUCTION)]])</f>
        <v>56619.020000000004</v>
      </c>
    </row>
    <row r="681" spans="1:8" x14ac:dyDescent="0.25">
      <c r="A681" t="str">
        <f>"134429"</f>
        <v>134429</v>
      </c>
      <c r="B681" t="s">
        <v>567</v>
      </c>
      <c r="C681">
        <v>168</v>
      </c>
      <c r="D681" s="6">
        <v>71809.789999999994</v>
      </c>
      <c r="E681" s="6">
        <v>23697.23</v>
      </c>
      <c r="F681" s="6">
        <v>23697.23</v>
      </c>
      <c r="G681" s="6">
        <v>16444.439999999999</v>
      </c>
      <c r="H681" s="6">
        <f>SUM(Table134[[#This Row],[NOVEMBER PAYMENT]:[MAY PAYMENT 
(BUDGET REDUCTION)]])</f>
        <v>63838.899999999994</v>
      </c>
    </row>
    <row r="682" spans="1:8" x14ac:dyDescent="0.25">
      <c r="A682" t="str">
        <f>"134437"</f>
        <v>134437</v>
      </c>
      <c r="B682" t="s">
        <v>568</v>
      </c>
      <c r="C682">
        <v>46</v>
      </c>
      <c r="D682" s="6">
        <v>19662.2</v>
      </c>
      <c r="E682" s="6">
        <v>6488.53</v>
      </c>
      <c r="F682" s="6">
        <v>6488.5199999999995</v>
      </c>
      <c r="G682" s="6">
        <v>4502.6499999999996</v>
      </c>
      <c r="H682" s="6">
        <f>SUM(Table134[[#This Row],[NOVEMBER PAYMENT]:[MAY PAYMENT 
(BUDGET REDUCTION)]])</f>
        <v>17479.699999999997</v>
      </c>
    </row>
    <row r="683" spans="1:8" x14ac:dyDescent="0.25">
      <c r="A683" t="str">
        <f>"134460"</f>
        <v>134460</v>
      </c>
      <c r="B683" t="s">
        <v>569</v>
      </c>
      <c r="C683">
        <v>113</v>
      </c>
      <c r="D683" s="6">
        <v>48300.63</v>
      </c>
      <c r="E683" s="6">
        <v>15939.21</v>
      </c>
      <c r="F683" s="6">
        <v>15939.21</v>
      </c>
      <c r="G683" s="6">
        <v>11060.84</v>
      </c>
      <c r="H683" s="6">
        <f>SUM(Table134[[#This Row],[NOVEMBER PAYMENT]:[MAY PAYMENT 
(BUDGET REDUCTION)]])</f>
        <v>42939.259999999995</v>
      </c>
    </row>
    <row r="684" spans="1:8" x14ac:dyDescent="0.25">
      <c r="A684" t="str">
        <f>"134478"</f>
        <v>134478</v>
      </c>
      <c r="B684" t="s">
        <v>570</v>
      </c>
      <c r="C684">
        <v>58</v>
      </c>
      <c r="D684" s="6">
        <v>24791.47</v>
      </c>
      <c r="E684" s="6">
        <v>8181.19</v>
      </c>
      <c r="F684" s="6">
        <v>8181.1800000000012</v>
      </c>
      <c r="G684" s="6">
        <v>5677.25</v>
      </c>
      <c r="H684" s="6">
        <f>SUM(Table134[[#This Row],[NOVEMBER PAYMENT]:[MAY PAYMENT 
(BUDGET REDUCTION)]])</f>
        <v>22039.620000000003</v>
      </c>
    </row>
    <row r="685" spans="1:8" x14ac:dyDescent="0.25">
      <c r="A685" t="str">
        <f>"134510"</f>
        <v>134510</v>
      </c>
      <c r="B685" t="s">
        <v>571</v>
      </c>
      <c r="C685">
        <v>455</v>
      </c>
      <c r="D685" s="6">
        <v>194484.84</v>
      </c>
      <c r="E685" s="6">
        <v>64180</v>
      </c>
      <c r="F685" s="6">
        <v>64179.990000000005</v>
      </c>
      <c r="G685" s="6">
        <v>44537.03</v>
      </c>
      <c r="H685" s="6">
        <f>SUM(Table134[[#This Row],[NOVEMBER PAYMENT]:[MAY PAYMENT 
(BUDGET REDUCTION)]])</f>
        <v>172897.02000000002</v>
      </c>
    </row>
    <row r="686" spans="1:8" x14ac:dyDescent="0.25">
      <c r="A686" t="str">
        <f>"134528"</f>
        <v>134528</v>
      </c>
      <c r="B686" t="s">
        <v>572</v>
      </c>
      <c r="C686">
        <v>187</v>
      </c>
      <c r="D686" s="6">
        <v>79931.13</v>
      </c>
      <c r="E686" s="6">
        <v>26377.27</v>
      </c>
      <c r="F686" s="6">
        <v>26377.280000000002</v>
      </c>
      <c r="G686" s="6">
        <v>18304.22</v>
      </c>
      <c r="H686" s="6">
        <f>SUM(Table134[[#This Row],[NOVEMBER PAYMENT]:[MAY PAYMENT 
(BUDGET REDUCTION)]])</f>
        <v>71058.77</v>
      </c>
    </row>
    <row r="687" spans="1:8" x14ac:dyDescent="0.25">
      <c r="A687" t="str">
        <f>"134536"</f>
        <v>134536</v>
      </c>
      <c r="B687" t="s">
        <v>573</v>
      </c>
      <c r="C687">
        <v>95</v>
      </c>
      <c r="D687" s="6">
        <v>40606.730000000003</v>
      </c>
      <c r="E687" s="6">
        <v>13400.22</v>
      </c>
      <c r="F687" s="6">
        <v>13400.22</v>
      </c>
      <c r="G687" s="6">
        <v>9298.94</v>
      </c>
      <c r="H687" s="6">
        <f>SUM(Table134[[#This Row],[NOVEMBER PAYMENT]:[MAY PAYMENT 
(BUDGET REDUCTION)]])</f>
        <v>36099.379999999997</v>
      </c>
    </row>
    <row r="688" spans="1:8" x14ac:dyDescent="0.25">
      <c r="A688" t="str">
        <f>"134544"</f>
        <v>134544</v>
      </c>
      <c r="B688" t="s">
        <v>574</v>
      </c>
      <c r="C688">
        <v>9</v>
      </c>
      <c r="D688" s="6">
        <v>3846.95</v>
      </c>
      <c r="E688" s="6">
        <v>1269.49</v>
      </c>
      <c r="F688" s="6">
        <v>1269.4999999999998</v>
      </c>
      <c r="G688" s="6">
        <v>880.95</v>
      </c>
      <c r="H688" s="6">
        <f>SUM(Table134[[#This Row],[NOVEMBER PAYMENT]:[MAY PAYMENT 
(BUDGET REDUCTION)]])</f>
        <v>3419.9399999999996</v>
      </c>
    </row>
    <row r="689" spans="1:8" x14ac:dyDescent="0.25">
      <c r="A689" t="str">
        <f>"134619"</f>
        <v>134619</v>
      </c>
      <c r="B689" t="s">
        <v>508</v>
      </c>
      <c r="C689">
        <v>268</v>
      </c>
      <c r="D689" s="6">
        <v>114553.71</v>
      </c>
      <c r="E689" s="6">
        <v>37802.720000000001</v>
      </c>
      <c r="F689" s="6">
        <v>37802.729999999996</v>
      </c>
      <c r="G689" s="6">
        <v>26232.799999999999</v>
      </c>
      <c r="H689" s="6">
        <f>SUM(Table134[[#This Row],[NOVEMBER PAYMENT]:[MAY PAYMENT 
(BUDGET REDUCTION)]])</f>
        <v>101838.25</v>
      </c>
    </row>
    <row r="690" spans="1:8" x14ac:dyDescent="0.25">
      <c r="A690" t="str">
        <f>"134817"</f>
        <v>134817</v>
      </c>
      <c r="B690" t="s">
        <v>575</v>
      </c>
      <c r="C690">
        <v>37</v>
      </c>
      <c r="D690" s="6">
        <v>15815.25</v>
      </c>
      <c r="E690" s="6">
        <v>5219.03</v>
      </c>
      <c r="F690" s="6">
        <v>5219.04</v>
      </c>
      <c r="G690" s="6">
        <v>3621.69</v>
      </c>
      <c r="H690" s="6">
        <f>SUM(Table134[[#This Row],[NOVEMBER PAYMENT]:[MAY PAYMENT 
(BUDGET REDUCTION)]])</f>
        <v>14059.76</v>
      </c>
    </row>
    <row r="691" spans="1:8" x14ac:dyDescent="0.25">
      <c r="A691" t="str">
        <f>"138073"</f>
        <v>138073</v>
      </c>
      <c r="B691" t="s">
        <v>576</v>
      </c>
      <c r="C691">
        <v>163</v>
      </c>
      <c r="D691" s="6">
        <v>69672.59</v>
      </c>
      <c r="E691" s="6">
        <v>22991.95</v>
      </c>
      <c r="F691" s="6">
        <v>22991.960000000003</v>
      </c>
      <c r="G691" s="6">
        <v>15955.02</v>
      </c>
      <c r="H691" s="6">
        <f>SUM(Table134[[#This Row],[NOVEMBER PAYMENT]:[MAY PAYMENT 
(BUDGET REDUCTION)]])</f>
        <v>61938.930000000008</v>
      </c>
    </row>
    <row r="692" spans="1:8" x14ac:dyDescent="0.25">
      <c r="A692" t="str">
        <f>"143008"</f>
        <v>143008</v>
      </c>
      <c r="B692" t="s">
        <v>577</v>
      </c>
      <c r="C692">
        <v>150</v>
      </c>
      <c r="D692" s="6">
        <v>64115.88</v>
      </c>
      <c r="E692" s="6">
        <v>21158.240000000002</v>
      </c>
      <c r="F692" s="6">
        <v>21158.240000000002</v>
      </c>
      <c r="G692" s="6">
        <v>14682.54</v>
      </c>
      <c r="H692" s="6">
        <f>SUM(Table134[[#This Row],[NOVEMBER PAYMENT]:[MAY PAYMENT 
(BUDGET REDUCTION)]])</f>
        <v>56999.020000000004</v>
      </c>
    </row>
    <row r="693" spans="1:8" x14ac:dyDescent="0.25">
      <c r="A693" t="str">
        <f>"143040"</f>
        <v>143040</v>
      </c>
      <c r="B693" t="s">
        <v>578</v>
      </c>
      <c r="C693">
        <v>87</v>
      </c>
      <c r="D693" s="6">
        <v>37187.21</v>
      </c>
      <c r="E693" s="6">
        <v>12271.78</v>
      </c>
      <c r="F693" s="6">
        <v>12271.78</v>
      </c>
      <c r="G693" s="6">
        <v>8515.8700000000008</v>
      </c>
      <c r="H693" s="6">
        <f>SUM(Table134[[#This Row],[NOVEMBER PAYMENT]:[MAY PAYMENT 
(BUDGET REDUCTION)]])</f>
        <v>33059.43</v>
      </c>
    </row>
    <row r="694" spans="1:8" x14ac:dyDescent="0.25">
      <c r="A694" t="str">
        <f>"143081"</f>
        <v>143081</v>
      </c>
      <c r="B694" t="s">
        <v>579</v>
      </c>
      <c r="C694">
        <v>200</v>
      </c>
      <c r="D694" s="6">
        <v>85487.84</v>
      </c>
      <c r="E694" s="6">
        <v>28210.99</v>
      </c>
      <c r="F694" s="6">
        <v>28210.98</v>
      </c>
      <c r="G694" s="6">
        <v>19576.72</v>
      </c>
      <c r="H694" s="6">
        <f>SUM(Table134[[#This Row],[NOVEMBER PAYMENT]:[MAY PAYMENT 
(BUDGET REDUCTION)]])</f>
        <v>75998.69</v>
      </c>
    </row>
    <row r="695" spans="1:8" x14ac:dyDescent="0.25">
      <c r="A695" t="str">
        <f>"143099"</f>
        <v>143099</v>
      </c>
      <c r="B695" t="s">
        <v>580</v>
      </c>
      <c r="C695">
        <v>245</v>
      </c>
      <c r="D695" s="6">
        <v>104722.61</v>
      </c>
      <c r="E695" s="6">
        <v>34558.46</v>
      </c>
      <c r="F695" s="6">
        <v>34558.46</v>
      </c>
      <c r="G695" s="6">
        <v>23981.48</v>
      </c>
      <c r="H695" s="6">
        <f>SUM(Table134[[#This Row],[NOVEMBER PAYMENT]:[MAY PAYMENT 
(BUDGET REDUCTION)]])</f>
        <v>93098.4</v>
      </c>
    </row>
    <row r="696" spans="1:8" x14ac:dyDescent="0.25">
      <c r="A696" t="str">
        <f>"143230"</f>
        <v>143230</v>
      </c>
      <c r="B696" t="s">
        <v>581</v>
      </c>
      <c r="C696">
        <v>23</v>
      </c>
      <c r="D696" s="6">
        <v>9831.1</v>
      </c>
      <c r="E696" s="6">
        <v>3244.26</v>
      </c>
      <c r="F696" s="6">
        <v>3244.2699999999995</v>
      </c>
      <c r="G696" s="6">
        <v>2251.3200000000002</v>
      </c>
      <c r="H696" s="6">
        <f>SUM(Table134[[#This Row],[NOVEMBER PAYMENT]:[MAY PAYMENT 
(BUDGET REDUCTION)]])</f>
        <v>8739.85</v>
      </c>
    </row>
    <row r="697" spans="1:8" x14ac:dyDescent="0.25">
      <c r="A697" t="str">
        <f>"143248"</f>
        <v>143248</v>
      </c>
      <c r="B697" t="s">
        <v>582</v>
      </c>
      <c r="C697">
        <v>116</v>
      </c>
      <c r="D697" s="6">
        <v>49582.95</v>
      </c>
      <c r="E697" s="6">
        <v>16362.37</v>
      </c>
      <c r="F697" s="6">
        <v>16362.38</v>
      </c>
      <c r="G697" s="6">
        <v>11354.49</v>
      </c>
      <c r="H697" s="6">
        <f>SUM(Table134[[#This Row],[NOVEMBER PAYMENT]:[MAY PAYMENT 
(BUDGET REDUCTION)]])</f>
        <v>44079.24</v>
      </c>
    </row>
  </sheetData>
  <mergeCells count="4">
    <mergeCell ref="A1:F1"/>
    <mergeCell ref="A2:F2"/>
    <mergeCell ref="A3:F3"/>
    <mergeCell ref="A4:F4"/>
  </mergeCells>
  <phoneticPr fontId="6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November Pymt</vt:lpstr>
      <vt:lpstr>February Pymt</vt:lpstr>
      <vt:lpstr>May Pymt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Stirling, Sarah</cp:lastModifiedBy>
  <cp:lastPrinted>2019-11-06T19:56:21Z</cp:lastPrinted>
  <dcterms:created xsi:type="dcterms:W3CDTF">2019-11-06T19:06:16Z</dcterms:created>
  <dcterms:modified xsi:type="dcterms:W3CDTF">2020-05-14T15:25:08Z</dcterms:modified>
</cp:coreProperties>
</file>