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3" activeTab="11"/>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<sst xmlns="http://schemas.openxmlformats.org/spreadsheetml/2006/main" count="1516" uniqueCount="807">
  <si>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</si>
  <si>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</si>
  <si>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</si>
  <si>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</si>
  <si>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</si>
  <si>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</si>
  <si>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</si>
  <si>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</si>
  <si>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</si>
  <si>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</si>
  <si>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</si>
  <si>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</si>
  <si>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</si>
  <si>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</si>
  <si>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</si>
  <si>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</si>
  <si>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</si>
  <si>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</si>
  <si>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</si>
  <si>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</si>
  <si>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</si>
  <si>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</si>
  <si>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</si>
  <si>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</si>
  <si>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</si>
  <si>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</si>
  <si>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</si>
  <si>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</si>
  <si>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</si>
  <si>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</si>
  <si>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</si>
  <si>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</si>
  <si>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</si>
  <si>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</si>
  <si>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</si>
  <si>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</si>
  <si>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</si>
  <si>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</si>
  <si>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</si>
  <si>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</si>
  <si>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</si>
  <si>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</si>
  <si>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</si>
  <si>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</si>
  <si>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</si>
  <si>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</si>
  <si>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</si>
  <si>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</si>
  <si>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</si>
  <si>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</si>
  <si>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</si>
  <si>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</si>
  <si>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</si>
  <si>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</si>
  <si>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</si>
  <si>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</si>
  <si>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</si>
  <si>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</si>
  <si>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</si>
  <si>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</si>
  <si>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</si>
  <si>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</si>
  <si>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</si>
  <si>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</si>
  <si>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</si>
  <si>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</si>
  <si>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</si>
  <si>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</si>
  <si>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</si>
  <si>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</si>
  <si>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</si>
  <si>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</si>
  <si>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</si>
  <si>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</si>
  <si>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</si>
  <si>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</si>
  <si>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</si>
  <si>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</si>
  <si>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</si>
  <si>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</si>
  <si>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</si>
  <si>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</si>
  <si>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</si>
  <si>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</si>
  <si>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</si>
  <si>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</si>
  <si>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</si>
  <si>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</si>
  <si>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</si>
  <si>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</si>
  <si>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</si>
  <si>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</si>
  <si>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</si>
  <si>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</si>
  <si>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</si>
  <si>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</si>
  <si>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</si>
  <si>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</si>
  <si>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</si>
  <si>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</si>
  <si>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</si>
  <si>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</si>
  <si>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</si>
  <si>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</si>
  <si>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</si>
  <si>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</si>
  <si>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</si>
  <si>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</si>
  <si>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</si>
  <si>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</si>
  <si>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</si>
  <si>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</si>
  <si>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</si>
  <si>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</si>
  <si>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</si>
  <si>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</si>
  <si>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</si>
  <si>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</si>
  <si>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</si>
  <si>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</si>
  <si>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</si>
  <si>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</si>
  <si>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</si>
  <si>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</si>
  <si>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</si>
  <si>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</si>
  <si>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</si>
  <si>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</si>
  <si>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</si>
  <si>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</si>
  <si>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</si>
  <si>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</si>
  <si>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</si>
  <si>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</si>
  <si>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</si>
  <si>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</si>
  <si>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</si>
  <si>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</si>
  <si>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</si>
  <si>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</si>
  <si>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</si>
  <si>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</si>
  <si>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</si>
  <si>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</si>
  <si>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</si>
  <si>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</si>
  <si>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</si>
  <si>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</si>
  <si>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</si>
  <si>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</si>
  <si>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</si>
  <si>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</si>
  <si>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</si>
  <si>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</si>
  <si>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</si>
  <si>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</si>
  <si>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</si>
  <si>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</si>
  <si>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</si>
  <si>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</si>
  <si>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</si>
  <si>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</si>
  <si>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</si>
  <si>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</si>
  <si>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</si>
  <si>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</si>
  <si>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</si>
  <si>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</si>
  <si>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</si>
  <si>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</si>
  <si>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</si>
  <si>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</si>
  <si>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</si>
  <si>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</si>
  <si>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</si>
  <si>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</si>
  <si>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</si>
  <si>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</si>
  <si>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</si>
  <si>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</si>
  <si>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</si>
  <si>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</si>
  <si>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</si>
  <si>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</si>
  <si>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</si>
  <si>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</si>
  <si>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</si>
  <si>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</si>
  <si>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</si>
  <si>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</si>
  <si>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</si>
  <si>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</si>
  <si>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</si>
  <si>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</si>
  <si>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</si>
  <si>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</si>
  <si>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</si>
  <si>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</si>
  <si>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</si>
  <si>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</si>
  <si>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</si>
  <si>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</si>
  <si>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</si>
  <si>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</si>
  <si>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</si>
  <si>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</si>
  <si>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</si>
  <si>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</si>
  <si>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</si>
  <si>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</si>
  <si>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</si>
  <si>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</si>
  <si>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</si>
  <si>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</si>
  <si>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</si>
  <si>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</si>
  <si>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</si>
  <si>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</si>
  <si>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</si>
  <si>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</si>
  <si>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</si>
  <si>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</si>
  <si>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</si>
  <si>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</si>
  <si>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</si>
  <si>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</si>
  <si>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</si>
  <si>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</si>
  <si>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</si>
  <si>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</si>
  <si>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</si>
  <si>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</si>
  <si>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</si>
  <si>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</si>
  <si>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</si>
  <si>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</si>
  <si>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</si>
  <si>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</si>
  <si>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</si>
  <si>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</si>
  <si>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</si>
  <si>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</si>
  <si>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</si>
  <si>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</si>
  <si>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</si>
  <si>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</si>
  <si>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</si>
  <si>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</si>
  <si>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</si>
  <si>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</si>
  <si>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</si>
  <si>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</si>
  <si>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</si>
  <si>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</si>
  <si>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</si>
  <si>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</si>
  <si>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</si>
  <si>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</si>
  <si>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</si>
  <si>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</si>
  <si>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</si>
  <si>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</si>
  <si>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</si>
  <si>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</si>
  <si>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</si>
  <si>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</si>
  <si>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</si>
  <si>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</si>
  <si>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</si>
  <si>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</si>
  <si>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</si>
  <si>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</si>
  <si>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</si>
  <si>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</si>
  <si>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</si>
  <si>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</si>
  <si>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</si>
  <si>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</si>
  <si>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</si>
  <si>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</si>
  <si>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</si>
  <si>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</si>
  <si>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</si>
  <si>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</si>
  <si>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</si>
  <si>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</si>
  <si>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</si>
  <si>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</si>
  <si>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</si>
  <si>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</si>
  <si>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</si>
  <si>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</si>
  <si>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</si>
  <si>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</si>
  <si>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</si>
  <si>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</si>
  <si>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</si>
  <si>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</si>
  <si>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</si>
  <si>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</si>
  <si>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</si>
  <si>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</si>
  <si>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</si>
  <si>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</si>
  <si>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</si>
  <si>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</si>
  <si>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</si>
  <si>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</si>
  <si>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</si>
  <si>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</si>
  <si>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</si>
  <si>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</si>
  <si>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</si>
  <si>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</si>
  <si>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</si>
  <si>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</si>
  <si>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</si>
  <si>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</si>
  <si>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</si>
  <si>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</si>
  <si>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</si>
  <si>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</si>
  <si>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</si>
  <si>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</si>
  <si>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</si>
  <si>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</si>
  <si>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</si>
  <si>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</si>
  <si>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</si>
  <si>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</si>
  <si>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</si>
  <si>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</si>
  <si>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</si>
  <si>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</si>
  <si>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</si>
  <si>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</si>
  <si>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</si>
  <si>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</si>
  <si>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</si>
  <si>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</si>
  <si>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</si>
  <si>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</si>
  <si>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</si>
  <si>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</si>
  <si>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</si>
  <si>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</si>
  <si>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</si>
  <si>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</si>
  <si>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</si>
  <si>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</si>
  <si>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</si>
  <si>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</si>
  <si>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</si>
  <si>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</si>
  <si>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</si>
  <si>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</si>
  <si>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</si>
  <si>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</si>
  <si>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</si>
  <si>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</si>
  <si>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</si>
  <si>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</si>
  <si>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</si>
  <si>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</si>
  <si>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</si>
  <si>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</si>
  <si>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</si>
  <si>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</si>
  <si>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</si>
  <si>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</si>
  <si>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</si>
  <si>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</si>
  <si>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</si>
  <si>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</si>
  <si>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</si>
  <si>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</si>
  <si>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</si>
  <si>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</si>
  <si>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</si>
  <si>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</si>
  <si>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</si>
  <si>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</si>
  <si>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</si>
  <si>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</si>
  <si>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</si>
  <si>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</si>
  <si>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</si>
  <si>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</si>
  <si>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</si>
  <si>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</si>
  <si>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</si>
  <si>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</si>
  <si>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</si>
  <si>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</si>
  <si>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</si>
  <si>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</si>
  <si>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</si>
  <si>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</si>
  <si>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</si>
  <si>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</si>
  <si>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</si>
  <si>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</si>
  <si>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</si>
  <si>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</si>
  <si>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</si>
  <si>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</si>
  <si>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</si>
  <si>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</si>
  <si>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</si>
  <si>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</si>
  <si>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</si>
  <si>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</si>
  <si>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</si>
  <si>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</si>
  <si>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</si>
  <si>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</si>
  <si>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</si>
  <si>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</si>
  <si>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</si>
  <si>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</si>
  <si>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</si>
  <si>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</si>
  <si>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</si>
  <si>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</si>
  <si>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</si>
  <si>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</si>
  <si>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</si>
  <si>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</si>
  <si>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</si>
  <si>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</si>
  <si>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</si>
  <si>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</si>
  <si>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</si>
  <si>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</si>
  <si>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</si>
  <si>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</si>
  <si>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</si>
  <si>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</si>
  <si>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</si>
  <si>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</si>
  <si>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</si>
  <si>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</si>
  <si>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</si>
  <si>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</si>
  <si>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</si>
  <si>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</si>
  <si>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</si>
  <si>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</si>
  <si>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</si>
  <si>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</si>
  <si>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</si>
  <si>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</si>
  <si>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</si>
  <si>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</si>
  <si>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</si>
  <si>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</si>
  <si>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</si>
  <si>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</si>
  <si>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</si>
  <si>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</si>
  <si>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</si>
  <si>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</si>
  <si>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</si>
  <si>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</si>
  <si>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</si>
  <si>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</si>
  <si>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</si>
  <si>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</si>
  <si>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</si>
  <si>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</si>
  <si>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</si>
  <si>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</si>
  <si>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</si>
  <si>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</si>
  <si>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</si>
  <si>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</si>
  <si>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</si>
  <si>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</si>
  <si>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</si>
  <si>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</si>
  <si>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</si>
  <si>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</si>
  <si>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</si>
  <si>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</si>
  <si>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</si>
  <si>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</si>
  <si>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</si>
  <si>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</si>
  <si>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</si>
  <si>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</si>
  <si>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</si>
  <si>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</si>
  <si>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</si>
  <si>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</si>
  <si>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</si>
  <si>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</si>
  <si>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</si>
  <si>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</si>
  <si>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</si>
  <si>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</si>
  <si>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</si>
  <si>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</si>
  <si>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</si>
  <si>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</si>
  <si>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</si>
  <si>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</si>
  <si>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</si>
  <si>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</si>
  <si>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</si>
  <si>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</si>
  <si>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</si>
  <si>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</si>
  <si>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</si>
  <si>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</si>
  <si>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</si>
  <si>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</si>
  <si>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</si>
  <si>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</si>
  <si>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</si>
  <si>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</si>
  <si>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</si>
  <si>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</si>
  <si>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</si>
  <si>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</si>
  <si>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</si>
  <si>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</si>
  <si>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</si>
  <si>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</si>
  <si>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</si>
  <si>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</si>
  <si>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</si>
  <si>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</si>
  <si>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</si>
  <si>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</si>
  <si>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</si>
  <si>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</si>
  <si>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</si>
  <si>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</si>
  <si>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</si>
  <si>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</si>
  <si>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</si>
  <si>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</si>
  <si>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</si>
  <si>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</si>
  <si>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</si>
  <si>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</si>
  <si>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</si>
  <si>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</si>
  <si>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</si>
  <si>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</si>
  <si>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</si>
  <si>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</si>
  <si>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</si>
  <si>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</si>
  <si>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</si>
  <si>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</si>
  <si>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</si>
  <si>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</si>
  <si>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</si>
  <si>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</si>
  <si>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</si>
  <si>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</si>
  <si>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</si>
  <si>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</si>
  <si>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</si>
  <si>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</si>
  <si>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</si>
  <si>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</si>
  <si>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</si>
  <si>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</si>
  <si>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</si>
  <si>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</si>
  <si>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</si>
  <si>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</si>
  <si>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</si>
  <si>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</si>
  <si>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</si>
  <si>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</si>
  <si>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</si>
  <si>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</si>
  <si>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</si>
  <si>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</si>
  <si>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</si>
  <si>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</si>
  <si>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</si>
  <si>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</si>
  <si>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</si>
  <si>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</si>
  <si>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</si>
  <si>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</si>
  <si>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</si>
  <si>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</si>
  <si>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</si>
  <si>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</si>
  <si>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</si>
  <si>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</si>
  <si>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</si>
  <si>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</si>
  <si>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</si>
  <si>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</si>
  <si>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</si>
  <si>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</si>
  <si>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</si>
  <si>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</si>
  <si>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</si>
  <si>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</si>
  <si>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</si>
  <si>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</si>
  <si>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</si>
  <si>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</si>
  <si>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</si>
  <si>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</si>
  <si>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</si>
  <si>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</si>
  <si>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</si>
  <si>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</si>
  <si>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</si>
  <si>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</si>
  <si>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</si>
  <si>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</si>
  <si>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</si>
  <si>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</si>
  <si>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</si>
  <si>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</si>
  <si>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</si>
  <si>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</si>
  <si>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</si>
  <si>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</si>
  <si>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</si>
  <si>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</si>
  <si>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</si>
  <si>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</si>
  <si>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</si>
  <si>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</si>
  <si>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</si>
  <si>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</si>
  <si>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</si>
  <si>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</si>
  <si>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</si>
  <si>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</si>
  <si>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</si>
  <si>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</si>
  <si>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</si>
  <si>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</si>
  <si>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</si>
  <si>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</si>
  <si>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</si>
  <si>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</si>
  <si>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</si>
  <si>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</si>
  <si>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</si>
  <si>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</si>
  <si>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</si>
  <si>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</si>
  <si>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</si>
  <si>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</si>
  <si>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</si>
  <si>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</si>
  <si>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</si>
  <si>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</si>
  <si>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</si>
  <si>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</si>
  <si>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</si>
  <si>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</si>
  <si>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</si>
  <si>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</si>
  <si>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</si>
  <si>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</si>
  <si>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</si>
  <si>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</si>
  <si>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</si>
  <si>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</si>
  <si>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</si>
  <si>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</si>
  <si>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</si>
  <si>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</si>
  <si>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</si>
  <si>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</si>
  <si>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</si>
  <si>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</si>
  <si>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</si>
  <si>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</si>
  <si>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</si>
  <si>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</si>
  <si>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</si>
  <si>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</si>
  <si>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</si>
  <si>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</si>
  <si>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</si>
  <si>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</si>
  <si>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</si>
  <si>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</si>
  <si>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</si>
  <si>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</si>
  <si>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</si>
  <si>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</si>
  <si>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</si>
  <si>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</si>
  <si>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</si>
  <si>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</si>
  <si>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</si>
  <si>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</si>
  <si>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</si>
  <si>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</si>
  <si>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</si>
  <si>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</si>
  <si>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</si>
  <si>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</si>
  <si>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</si>
  <si>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</si>
  <si>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</si>
  <si>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</si>
  <si>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</si>
  <si>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</si>
  <si>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</si>
  <si>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</si>
  <si>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</si>
  <si>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</si>
  <si>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</si>
  <si>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</si>
  <si>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</si>
  <si>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</si>
  <si>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</si>
  <si>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</si>
  <si>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</si>
  <si>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</si>
  <si>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</si>
  <si>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</si>
  <si>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</si>
  <si>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</si>
  <si>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</si>
  <si>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</si>
  <si>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</si>
  <si>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</si>
  <si>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</si>
  <si>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</si>
  <si>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</si>
  <si>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</si>
  <si>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</si>
  <si>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</si>
  <si>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</si>
  <si>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</si>
  <si>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</si>
  <si>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</si>
  <si>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</si>
  <si>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</si>
  <si>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</si>
  <si>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</si>
  <si>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</si>
  <si>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</si>
  <si>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</si>
  <si>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</si>
  <si>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</si>
  <si>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</si>
  <si>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</si>
  <si>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</si>
  <si>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</si>
  <si>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</si>
  <si>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</si>
  <si>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</si>
  <si>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</si>
  <si>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</si>
  <si>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</si>
  <si>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</si>
  <si>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</si>
  <si>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</si>
  <si>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</si>
  <si>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</si>
  <si>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</si>
  <si>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</si>
  <si>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</si>
  <si>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</si>
  <si>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</si>
  <si>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</si>
  <si>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</si>
  <si>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</si>
  <si>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</si>
  <si>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</si>
  <si>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</si>
  <si>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</si>
  <si>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</si>
  <si>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</si>
  <si>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</si>
  <si>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</si>
  <si>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</si>
  <si>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</si>
  <si>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</si>
  <si>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</si>
  <si>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</si>
  <si>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</si>
  <si>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</si>
  <si>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</si>
  <si>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</si>
  <si>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</si>
  <si>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</si>
  <si>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</si>
  <si>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</si>
  <si>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</si>
  <si>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</si>
  <si>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</si>
  <si>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</si>
  <si>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</si>
  <si>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Grilled Chicken Sandwich</t>
  </si>
  <si>
    <t>Hatton Chicken Crunch with Brown Rice</t>
  </si>
  <si>
    <t>Rotini and Meat Sauce</t>
  </si>
  <si>
    <t>Beef &amp; ReFried Bean Burrito</t>
  </si>
  <si>
    <t>Grilled Cheese Sandwich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</si>
</sst>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1" fillId="3" borderId="24" xfId="0" applyFont="1" applyFill="1" applyBorder="1" applyAlignment="1" applyProtection="1">
      <alignment horizontal="center" vertical="center" wrapText="1"/>
      <protection hidden="1"/>
    </xf>
    <xf numFmtId="0" fontId="131" fillId="3" borderId="72" xfId="0" applyFont="1" applyFill="1" applyBorder="1" applyAlignment="1" applyProtection="1">
      <alignment horizontal="center" vertical="center" wrapText="1"/>
      <protection hidden="1"/>
    </xf>
    <xf numFmtId="0" fontId="131"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2"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3" fillId="7" borderId="10" xfId="0" applyFont="1" applyFill="1" applyBorder="1" applyAlignment="1">
      <alignment horizontal="center" vertical="center"/>
    </xf>
    <xf numFmtId="0" fontId="134" fillId="2" borderId="10" xfId="0" applyFont="1" applyFill="1" applyBorder="1" applyAlignment="1">
      <alignment horizontal="center" vertical="center"/>
    </xf>
    <xf numFmtId="0" fontId="134" fillId="2" borderId="13" xfId="0" applyFont="1" applyFill="1" applyBorder="1" applyAlignment="1">
      <alignment horizontal="center" vertical="center"/>
    </xf>
    <xf numFmtId="0" fontId="134" fillId="2" borderId="10" xfId="0" applyFont="1" applyFill="1" applyBorder="1" applyAlignment="1" applyProtection="1">
      <alignment horizontal="center" vertical="center"/>
      <protection locked="0"/>
    </xf>
    <xf numFmtId="0" fontId="134" fillId="2" borderId="13"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protection locked="0"/>
    </xf>
    <xf numFmtId="0" fontId="135" fillId="4" borderId="10" xfId="0" applyFont="1" applyFill="1" applyBorder="1" applyAlignment="1" applyProtection="1">
      <alignment horizontal="center"/>
      <protection locked="0"/>
    </xf>
    <xf numFmtId="0" fontId="132"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3" fillId="7" borderId="10"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2"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3" fillId="7" borderId="14" xfId="0" applyFont="1" applyFill="1" applyBorder="1" applyAlignment="1" applyProtection="1">
      <alignment horizontal="center" vertical="center"/>
      <protection locked="0"/>
    </xf>
    <xf numFmtId="0" fontId="134" fillId="2" borderId="14" xfId="0" applyFont="1" applyFill="1" applyBorder="1" applyAlignment="1" applyProtection="1">
      <alignment horizontal="center" vertical="center"/>
      <protection locked="0"/>
    </xf>
    <xf numFmtId="0" fontId="134" fillId="2" borderId="15" xfId="0" applyFont="1" applyFill="1" applyBorder="1" applyAlignment="1" applyProtection="1">
      <alignment horizontal="center" vertical="center"/>
      <protection locked="0"/>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05" fillId="0" borderId="22" xfId="53" applyFont="1" applyBorder="1" applyAlignment="1" applyProtection="1">
      <alignment horizontal="center" vertical="center"/>
      <protection locked="0"/>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4" fillId="3" borderId="10" xfId="0" applyFont="1" applyFill="1" applyBorder="1" applyAlignment="1" applyProtection="1">
      <alignment horizontal="center" vertical="center"/>
      <protection locked="0"/>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vertical="center"/>
      <protection locked="0"/>
    </xf>
    <xf numFmtId="0" fontId="135" fillId="4" borderId="10" xfId="0" applyFont="1" applyFill="1" applyBorder="1" applyAlignment="1" applyProtection="1">
      <alignment horizontal="center" vertical="center"/>
      <protection locked="0"/>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4" fillId="2" borderId="23" xfId="0" applyFont="1" applyFill="1" applyBorder="1" applyAlignment="1">
      <alignment horizontal="center" vertical="center"/>
    </xf>
    <xf numFmtId="0" fontId="134" fillId="2" borderId="33" xfId="0" applyFont="1" applyFill="1" applyBorder="1" applyAlignment="1">
      <alignment horizontal="center" vertical="center"/>
    </xf>
    <xf numFmtId="0" fontId="134" fillId="2" borderId="64" xfId="0" applyFont="1" applyFill="1" applyBorder="1" applyAlignment="1">
      <alignment horizontal="center" vertical="center"/>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1" fillId="3" borderId="24" xfId="0" applyFont="1" applyFill="1" applyBorder="1" applyAlignment="1">
      <alignment horizontal="center" vertical="center" wrapText="1"/>
    </xf>
    <xf numFmtId="0" fontId="131" fillId="3" borderId="72" xfId="0" applyFont="1" applyFill="1" applyBorder="1" applyAlignment="1">
      <alignment horizontal="center" vertical="center" wrapText="1"/>
    </xf>
    <xf numFmtId="0" fontId="131" fillId="3" borderId="76" xfId="0" applyFont="1" applyFill="1" applyBorder="1" applyAlignment="1">
      <alignment horizontal="center" vertical="center" wrapText="1"/>
    </xf>
    <xf numFmtId="0" fontId="131" fillId="3" borderId="87" xfId="0" applyFont="1" applyFill="1" applyBorder="1" applyAlignment="1">
      <alignment horizontal="center" vertical="center" wrapText="1"/>
    </xf>
    <xf numFmtId="0" fontId="131"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106" fillId="2" borderId="31"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05" fillId="0" borderId="63" xfId="53" applyFont="1" applyBorder="1" applyAlignment="1" applyProtection="1">
      <alignment horizontal="center" wrapText="1"/>
      <protection locked="0"/>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0" fillId="0" borderId="0" xfId="0" applyBorder="1" applyAlignment="1">
      <alignment horizontal="right"/>
    </xf>
    <xf numFmtId="0" fontId="119" fillId="0" borderId="0" xfId="0" applyFont="1" applyAlignment="1">
      <alignment horizontal="center"/>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98" fillId="0" borderId="0" xfId="53" applyFont="1" applyAlignment="1" applyProtection="1">
      <alignment horizontal="center"/>
      <protection/>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ns.usda.gov/cnd/governance/Policy-Memos/2012/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Green peas, immature</v>
          </cell>
          <cell r="E6" t="str">
            <v>Asparagus</v>
          </cell>
        </row>
        <row r="7">
          <cell r="A7" t="str">
            <v>Boston or bibb lettuce</v>
          </cell>
          <cell r="B7" t="str">
            <v>Chili pepper, hot</v>
          </cell>
          <cell r="C7" t="str">
            <v>Kidney beans </v>
          </cell>
          <cell r="D7" t="str">
            <v>Fresh Cow/field/blackeye/pigeon (peas)</v>
          </cell>
          <cell r="E7" t="str">
            <v>Avocado </v>
          </cell>
        </row>
        <row r="8">
          <cell r="A8" t="str">
            <v>Broccoli</v>
          </cell>
          <cell r="B8" t="str">
            <v>Peppers, red, sweet, bell </v>
          </cell>
          <cell r="C8" t="str">
            <v>Lentils </v>
          </cell>
          <cell r="D8" t="str">
            <v>Lima beans, immature </v>
          </cell>
          <cell r="E8" t="str">
            <v>Bamboo Shoots</v>
          </cell>
        </row>
        <row r="9">
          <cell r="A9" t="str">
            <v>Chard</v>
          </cell>
          <cell r="B9" t="str">
            <v>Pumpkin</v>
          </cell>
          <cell r="C9" t="str">
            <v>Lima beans, mature</v>
          </cell>
          <cell r="D9" t="str">
            <v>Parsnips</v>
          </cell>
          <cell r="E9" t="str">
            <v>Beans, green/snap/yellow</v>
          </cell>
        </row>
        <row r="10">
          <cell r="A10" t="str">
            <v>Cilantro</v>
          </cell>
          <cell r="B10" t="str">
            <v>Squash, winter </v>
          </cell>
          <cell r="C10" t="str">
            <v>Pinto beans</v>
          </cell>
          <cell r="D10" t="str">
            <v>Plantains </v>
          </cell>
          <cell r="E10" t="str">
            <v>Beets</v>
          </cell>
        </row>
        <row r="11">
          <cell r="A11" t="str">
            <v>Collard greens</v>
          </cell>
          <cell r="B11" t="str">
            <v>Sweet potatoes</v>
          </cell>
          <cell r="C11" t="str">
            <v>Refried beans</v>
          </cell>
          <cell r="D11" t="str">
            <v>Potatoes</v>
          </cell>
          <cell r="E11" t="str">
            <v>Brussels sprouts </v>
          </cell>
        </row>
        <row r="12">
          <cell r="A12" t="str">
            <v>Grape leaves</v>
          </cell>
          <cell r="B12" t="str">
            <v>Tomato juice </v>
          </cell>
          <cell r="C12" t="str">
            <v>Soybeans</v>
          </cell>
          <cell r="D12" t="str">
            <v>Water chestnuts</v>
          </cell>
          <cell r="E12" t="str">
            <v>Cabbage, green/red</v>
          </cell>
        </row>
        <row r="13">
          <cell r="A13" t="str">
            <v>Kale</v>
          </cell>
          <cell r="B13" t="str">
            <v>Tomato paste</v>
          </cell>
          <cell r="C13" t="str">
            <v>Split peas </v>
          </cell>
          <cell r="D13" t="str">
            <v>Starchy unspecified</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E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12" t="s">
        <v>742</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743</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992" t="s">
        <v>578</v>
      </c>
      <c r="BA2" s="993"/>
      <c r="BB2" s="993"/>
      <c r="BC2" s="993"/>
      <c r="BD2" s="993"/>
    </row>
    <row r="3" spans="3:55" ht="24" customHeight="1" thickBot="1">
      <c r="C3" s="984" t="s">
        <v>35</v>
      </c>
      <c r="D3" s="985"/>
      <c r="E3" s="985"/>
      <c r="F3" s="985"/>
      <c r="G3" s="985"/>
      <c r="H3" s="985"/>
      <c r="I3" s="985"/>
      <c r="J3" s="985"/>
      <c r="K3" s="985"/>
      <c r="L3" s="985"/>
      <c r="M3" s="985"/>
      <c r="N3" s="985"/>
      <c r="O3" s="985"/>
      <c r="P3" s="985"/>
      <c r="Q3" s="985"/>
      <c r="R3" s="985"/>
      <c r="S3" s="985"/>
      <c r="T3" s="985"/>
      <c r="U3" s="985"/>
      <c r="V3" s="985"/>
      <c r="W3" s="985"/>
      <c r="X3" s="985"/>
      <c r="Y3" s="985"/>
      <c r="Z3" s="986"/>
      <c r="AB3" s="961" t="s">
        <v>503</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row>
    <row r="4" spans="3:57" ht="60.75" customHeight="1" thickBot="1">
      <c r="C4" s="978" t="s">
        <v>790</v>
      </c>
      <c r="D4" s="979"/>
      <c r="E4" s="941" t="s">
        <v>760</v>
      </c>
      <c r="F4" s="942"/>
      <c r="G4" s="799" t="s">
        <v>761</v>
      </c>
      <c r="H4" s="1003"/>
      <c r="I4" s="1003"/>
      <c r="J4" s="1004"/>
      <c r="K4" s="987" t="s">
        <v>762</v>
      </c>
      <c r="L4" s="988"/>
      <c r="M4" s="989"/>
      <c r="N4" s="998" t="s">
        <v>763</v>
      </c>
      <c r="O4" s="999"/>
      <c r="P4" s="1000"/>
      <c r="Q4" s="967" t="s">
        <v>764</v>
      </c>
      <c r="R4" s="968"/>
      <c r="S4" s="958" t="s">
        <v>436</v>
      </c>
      <c r="T4" s="959"/>
      <c r="U4" s="959"/>
      <c r="V4" s="959"/>
      <c r="W4" s="959"/>
      <c r="X4" s="959"/>
      <c r="Y4" s="959"/>
      <c r="Z4" s="960"/>
      <c r="AB4" s="963" t="s">
        <v>744</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3:57" ht="34.5" customHeight="1">
      <c r="C5" s="980"/>
      <c r="D5" s="981"/>
      <c r="E5" s="943" t="s">
        <v>324</v>
      </c>
      <c r="F5" s="945" t="s">
        <v>794</v>
      </c>
      <c r="G5" s="994" t="s">
        <v>765</v>
      </c>
      <c r="H5" s="949" t="s">
        <v>795</v>
      </c>
      <c r="I5" s="951" t="s">
        <v>766</v>
      </c>
      <c r="J5" s="996" t="s">
        <v>767</v>
      </c>
      <c r="K5" s="806" t="s">
        <v>768</v>
      </c>
      <c r="L5" s="947" t="s">
        <v>796</v>
      </c>
      <c r="M5" s="826" t="s">
        <v>769</v>
      </c>
      <c r="N5" s="785" t="s">
        <v>770</v>
      </c>
      <c r="O5" s="947" t="s">
        <v>797</v>
      </c>
      <c r="P5" s="1001" t="s">
        <v>771</v>
      </c>
      <c r="Q5" s="972" t="s">
        <v>325</v>
      </c>
      <c r="R5" s="945" t="s">
        <v>102</v>
      </c>
      <c r="S5" s="926" t="s">
        <v>646</v>
      </c>
      <c r="T5" s="927"/>
      <c r="U5" s="927"/>
      <c r="V5" s="927"/>
      <c r="W5" s="111"/>
      <c r="X5" s="111" t="b">
        <v>1</v>
      </c>
      <c r="Y5" s="319"/>
      <c r="Z5" s="974" t="str">
        <f>IF(AND(X5=FALSE,X6=FALSE,X7=FALSE),"",IF(AND(X5=TRUE,X6=TRUE),"Yes",IF(AND(X5=TRUE,X7=TRUE),"Yes",IF(AND(X6=TRUE,X7=TRUE),"Yes","No"))))</f>
        <v>Yes</v>
      </c>
      <c r="AB5" s="976" t="s">
        <v>257</v>
      </c>
      <c r="AC5" s="463"/>
      <c r="AD5" s="463"/>
      <c r="AE5" s="971" t="s">
        <v>62</v>
      </c>
      <c r="AF5" s="464"/>
      <c r="AG5" s="464"/>
      <c r="AH5" s="954" t="s">
        <v>258</v>
      </c>
      <c r="AI5" s="465"/>
      <c r="AJ5" s="465"/>
      <c r="AK5" s="954" t="s">
        <v>62</v>
      </c>
      <c r="AL5" s="464"/>
      <c r="AM5" s="464"/>
      <c r="AN5" s="957" t="s">
        <v>259</v>
      </c>
      <c r="AO5" s="466"/>
      <c r="AP5" s="466"/>
      <c r="AQ5" s="957" t="s">
        <v>62</v>
      </c>
      <c r="AR5" s="464"/>
      <c r="AS5" s="464"/>
      <c r="AT5" s="874" t="s">
        <v>260</v>
      </c>
      <c r="AU5" s="467"/>
      <c r="AV5" s="467"/>
      <c r="AW5" s="874" t="s">
        <v>62</v>
      </c>
      <c r="AX5" s="464"/>
      <c r="AY5" s="464"/>
      <c r="AZ5" s="875" t="s">
        <v>261</v>
      </c>
      <c r="BA5" s="468"/>
      <c r="BB5" s="469"/>
      <c r="BC5" s="953" t="s">
        <v>62</v>
      </c>
      <c r="BD5" s="872">
        <v>1</v>
      </c>
      <c r="BE5" s="873">
        <f>INDEX(Cups,BD5)</f>
        <v>0</v>
      </c>
    </row>
    <row r="6" spans="3:57" ht="44.25" customHeight="1" thickBot="1">
      <c r="C6" s="982"/>
      <c r="D6" s="983"/>
      <c r="E6" s="944"/>
      <c r="F6" s="946"/>
      <c r="G6" s="995"/>
      <c r="H6" s="950"/>
      <c r="I6" s="952"/>
      <c r="J6" s="997"/>
      <c r="K6" s="807"/>
      <c r="L6" s="948"/>
      <c r="M6" s="827"/>
      <c r="N6" s="969"/>
      <c r="O6" s="948"/>
      <c r="P6" s="1002"/>
      <c r="Q6" s="973"/>
      <c r="R6" s="946"/>
      <c r="S6" s="926" t="s">
        <v>647</v>
      </c>
      <c r="T6" s="927"/>
      <c r="U6" s="927"/>
      <c r="V6" s="927"/>
      <c r="W6" s="111"/>
      <c r="X6" s="111" t="b">
        <v>1</v>
      </c>
      <c r="Y6" s="319"/>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5</v>
      </c>
      <c r="B7" s="496" t="str">
        <f>INDEX(meals,A7)</f>
        <v>Beef &amp; ReFried Bean Burrito</v>
      </c>
      <c r="C7" s="502">
        <v>1</v>
      </c>
      <c r="D7" s="95"/>
      <c r="E7" s="205">
        <f>IF(B7=0,"",FLOOR(VLOOKUP(A7,'All Meals'!$A$12:$V$61,4),0.25))</f>
        <v>2</v>
      </c>
      <c r="F7" s="206" t="str">
        <f>IF(B7=0,"",IF(E7="","No",IF(E7&gt;=1,"Yes","No")))</f>
        <v>Yes</v>
      </c>
      <c r="G7" s="205">
        <f>IF(B7=0,"",FLOOR(VLOOKUP(A7,'All Meals'!$A$12:$V$61,5),0.25))</f>
        <v>1.5</v>
      </c>
      <c r="H7" s="207" t="str">
        <f>IF(B7=0,"",IF(G7="","No",IF(G7&gt;=1,"Yes","No")))</f>
        <v>Yes</v>
      </c>
      <c r="I7" s="284">
        <f>IF(B7=0,"",FLOOR(VLOOKUP(A7,'All Meals'!$A$12:$V$61,6),0.25))</f>
        <v>1.5</v>
      </c>
      <c r="J7" s="284">
        <f>IF(B7=0,"",FLOOR(VLOOKUP(A7,'All Meals'!$A$12:$V$61,7),0.25))</f>
        <v>0</v>
      </c>
      <c r="K7" s="115">
        <f>IF(B7=0,"",VLOOKUP(A7,'All Meals'!$A$12:$V$61,10))</f>
        <v>0.5</v>
      </c>
      <c r="L7" s="116" t="str">
        <f>IF(B7=0,"",IF(K7="","No",IF(K7&gt;=0.5,"Yes","No")))</f>
        <v>Yes</v>
      </c>
      <c r="M7" s="391">
        <f>IF(B7=0,"",VLOOKUP(A7,'All Meals'!$A$12:$V$61,13))</f>
      </c>
      <c r="N7" s="115">
        <f>IF(B7=0,"",VLOOKUP(A7,'All Meals'!$A$12:$V$61,16))</f>
        <v>0.875</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319"/>
      <c r="Z7" s="974"/>
      <c r="AB7" s="955" t="s">
        <v>301</v>
      </c>
      <c r="AC7" s="937"/>
      <c r="AD7" s="937"/>
      <c r="AE7" s="939"/>
      <c r="AF7" s="865">
        <v>1</v>
      </c>
      <c r="AG7" s="867">
        <f>INDEX(Cups,AF7)</f>
        <v>0</v>
      </c>
      <c r="AH7" s="933" t="s">
        <v>302</v>
      </c>
      <c r="AI7" s="935"/>
      <c r="AJ7" s="935"/>
      <c r="AK7" s="933"/>
      <c r="AL7" s="865">
        <v>2</v>
      </c>
      <c r="AM7" s="867">
        <f>INDEX(Cups,AL7)</f>
        <v>0.125</v>
      </c>
      <c r="AN7" s="863" t="s">
        <v>303</v>
      </c>
      <c r="AO7" s="852"/>
      <c r="AP7" s="852"/>
      <c r="AQ7" s="863"/>
      <c r="AR7" s="865">
        <v>2</v>
      </c>
      <c r="AS7" s="867">
        <f>INDEX(Cups,AR7)</f>
        <v>0.125</v>
      </c>
      <c r="AT7" s="868" t="s">
        <v>304</v>
      </c>
      <c r="AU7" s="854"/>
      <c r="AV7" s="854"/>
      <c r="AW7" s="854"/>
      <c r="AX7" s="865">
        <v>5</v>
      </c>
      <c r="AY7" s="867">
        <f>INDEX(Cups,AX7)</f>
        <v>0.5</v>
      </c>
      <c r="AZ7" s="870" t="s">
        <v>305</v>
      </c>
      <c r="BA7" s="859"/>
      <c r="BB7" s="859"/>
      <c r="BC7" s="86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319"/>
      <c r="Z8" s="351">
        <f>IF(X8=TRUE,"No","")</f>
      </c>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B9" s="923">
        <f>IF(OR(COUNTIF(AC10:AC19,12)&gt;0,COUNTIF(AC10:AC19,2)&gt;0,COUNTIF(AC10:AC19,4)&gt;0,COUNTIF(AC10:AC19,10)&gt;0,COUNTIF(AC10:AC19,15)&gt;0,COUNTIF(AC10:AC19,17)&gt;0,),"Remember to enter CREDITABLE amounts of leafy greens!","")</f>
      </c>
      <c r="AC9" s="924"/>
      <c r="AD9" s="924"/>
      <c r="AE9" s="925"/>
      <c r="AF9" s="352"/>
      <c r="AG9" s="352"/>
      <c r="AH9" s="930" t="str">
        <f>IF(COUNTIF(AI10:AI19,10)&gt;0,"Remember to enter the CREDITABLE amount of tomato paste!","")</f>
        <v>Remember to enter the CREDITABLE amount of tomato paste!</v>
      </c>
      <c r="AI9" s="931"/>
      <c r="AJ9" s="931"/>
      <c r="AK9" s="932"/>
      <c r="AL9" s="352"/>
      <c r="AM9" s="352"/>
      <c r="AN9" s="735" t="str">
        <f>IF(SUM(AO10:AO19)&gt;10,"If crediting as a vegetable do not also credit as a meat/meat alternate","")</f>
        <v>If crediting as a vegetable do not also credit as a meat/meat alternate</v>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10</v>
      </c>
      <c r="AJ10" s="100" t="str">
        <f aca="true" t="shared" si="8" ref="AJ10:AJ19">INDEX(RED,AI10)</f>
        <v>Tomato paste</v>
      </c>
      <c r="AK10" s="100"/>
      <c r="AL10" s="320">
        <v>2</v>
      </c>
      <c r="AM10" s="320">
        <f aca="true" t="shared" si="9" ref="AM10:AM19">IF(AJ10=0,"",INDEX(Cups,AL10))</f>
        <v>0.125</v>
      </c>
      <c r="AN10" s="245"/>
      <c r="AO10" s="245">
        <v>8</v>
      </c>
      <c r="AP10" s="245" t="str">
        <f aca="true" t="shared" si="10" ref="AP10:AP19">INDEX(BEANS,AO10)</f>
        <v>Refried beans</v>
      </c>
      <c r="AQ10" s="245"/>
      <c r="AR10" s="320">
        <v>2</v>
      </c>
      <c r="AS10" s="320">
        <f aca="true" t="shared" si="11" ref="AS10:AS19">IF(AP10=0,"",INDEX(Cups,AR10))</f>
        <v>0.125</v>
      </c>
      <c r="AT10" s="246"/>
      <c r="AU10" s="246">
        <v>2</v>
      </c>
      <c r="AV10" s="246" t="str">
        <f aca="true" t="shared" si="12" ref="AV10:AV19">INDEX(STARCHY,AU10)</f>
        <v>Corn</v>
      </c>
      <c r="AW10" s="246"/>
      <c r="AX10" s="320">
        <v>5</v>
      </c>
      <c r="AY10" s="320">
        <f>IF(AV10=0,"",INDEX(Cups,AX10))</f>
        <v>0.5</v>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319">
        <v>1</v>
      </c>
      <c r="X13" s="319">
        <f>INDEX(Cups,W13)</f>
        <v>0</v>
      </c>
      <c r="Y13" s="898"/>
      <c r="Z13" s="899"/>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319">
        <v>1</v>
      </c>
      <c r="X14" s="319">
        <f>INDEX(Cups,W14)</f>
        <v>0</v>
      </c>
      <c r="Y14" s="888"/>
      <c r="Z14" s="889"/>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319">
        <v>1</v>
      </c>
      <c r="X15" s="319">
        <f>INDEX(Cups,W15)</f>
        <v>0</v>
      </c>
      <c r="Y15" s="888"/>
      <c r="Z15" s="889"/>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319">
        <v>1</v>
      </c>
      <c r="X16" s="319">
        <f>INDEX(Cups,W16)</f>
        <v>0</v>
      </c>
      <c r="Y16" s="888"/>
      <c r="Z16" s="889"/>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319">
        <v>1</v>
      </c>
      <c r="X17" s="319">
        <f>INDEX(Cups,W17)</f>
        <v>0</v>
      </c>
      <c r="Y17" s="894"/>
      <c r="Z17" s="895"/>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0" t="s">
        <v>237</v>
      </c>
      <c r="U20" s="914"/>
      <c r="V20" s="915"/>
      <c r="W20" s="193"/>
      <c r="X20" s="193"/>
      <c r="Y20" s="919"/>
      <c r="Z20" s="920"/>
      <c r="AB20" s="879">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94"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95"/>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12" t="s">
        <v>745</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746</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992" t="s">
        <v>578</v>
      </c>
      <c r="BA2" s="993"/>
      <c r="BB2" s="993"/>
      <c r="BC2" s="993"/>
      <c r="BD2" s="993"/>
    </row>
    <row r="3" spans="3:55" ht="24" customHeight="1" thickBot="1">
      <c r="C3" s="984" t="s">
        <v>36</v>
      </c>
      <c r="D3" s="985"/>
      <c r="E3" s="985"/>
      <c r="F3" s="985"/>
      <c r="G3" s="985"/>
      <c r="H3" s="985"/>
      <c r="I3" s="985"/>
      <c r="J3" s="985"/>
      <c r="K3" s="985"/>
      <c r="L3" s="985"/>
      <c r="M3" s="985"/>
      <c r="N3" s="985"/>
      <c r="O3" s="985"/>
      <c r="P3" s="985"/>
      <c r="Q3" s="985"/>
      <c r="R3" s="985"/>
      <c r="S3" s="985"/>
      <c r="T3" s="985"/>
      <c r="U3" s="985"/>
      <c r="V3" s="985"/>
      <c r="W3" s="985"/>
      <c r="X3" s="985"/>
      <c r="Y3" s="985"/>
      <c r="Z3" s="986"/>
      <c r="AB3" s="961" t="s">
        <v>504</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row>
    <row r="4" spans="3:57" ht="60.75" customHeight="1" thickBot="1">
      <c r="C4" s="978" t="s">
        <v>790</v>
      </c>
      <c r="D4" s="979"/>
      <c r="E4" s="941" t="s">
        <v>760</v>
      </c>
      <c r="F4" s="942"/>
      <c r="G4" s="799" t="s">
        <v>761</v>
      </c>
      <c r="H4" s="1003"/>
      <c r="I4" s="1003"/>
      <c r="J4" s="1004"/>
      <c r="K4" s="987" t="s">
        <v>762</v>
      </c>
      <c r="L4" s="988"/>
      <c r="M4" s="989"/>
      <c r="N4" s="998" t="s">
        <v>763</v>
      </c>
      <c r="O4" s="999"/>
      <c r="P4" s="1000"/>
      <c r="Q4" s="967" t="s">
        <v>764</v>
      </c>
      <c r="R4" s="968"/>
      <c r="S4" s="958" t="s">
        <v>437</v>
      </c>
      <c r="T4" s="959"/>
      <c r="U4" s="959"/>
      <c r="V4" s="959"/>
      <c r="W4" s="959"/>
      <c r="X4" s="959"/>
      <c r="Y4" s="959"/>
      <c r="Z4" s="960"/>
      <c r="AB4" s="963" t="s">
        <v>747</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3:57" ht="34.5" customHeight="1">
      <c r="C5" s="980"/>
      <c r="D5" s="981"/>
      <c r="E5" s="943" t="s">
        <v>324</v>
      </c>
      <c r="F5" s="945" t="s">
        <v>794</v>
      </c>
      <c r="G5" s="994" t="s">
        <v>765</v>
      </c>
      <c r="H5" s="949" t="s">
        <v>795</v>
      </c>
      <c r="I5" s="951" t="s">
        <v>766</v>
      </c>
      <c r="J5" s="996" t="s">
        <v>767</v>
      </c>
      <c r="K5" s="806" t="s">
        <v>768</v>
      </c>
      <c r="L5" s="947" t="s">
        <v>796</v>
      </c>
      <c r="M5" s="826" t="s">
        <v>769</v>
      </c>
      <c r="N5" s="785" t="s">
        <v>770</v>
      </c>
      <c r="O5" s="947" t="s">
        <v>797</v>
      </c>
      <c r="P5" s="1001" t="s">
        <v>771</v>
      </c>
      <c r="Q5" s="972" t="s">
        <v>325</v>
      </c>
      <c r="R5" s="945" t="s">
        <v>102</v>
      </c>
      <c r="S5" s="926" t="s">
        <v>646</v>
      </c>
      <c r="T5" s="927"/>
      <c r="U5" s="927"/>
      <c r="V5" s="927"/>
      <c r="W5" s="111"/>
      <c r="X5" s="111" t="b">
        <v>1</v>
      </c>
      <c r="Y5" s="319"/>
      <c r="Z5" s="974" t="str">
        <f>IF(AND(X5=FALSE,X6=FALSE,X7=FALSE),"",IF(AND(X5=TRUE,X6=TRUE),"Yes",IF(AND(X5=TRUE,X7=TRUE),"Yes",IF(AND(X6=TRUE,X7=TRUE),"Yes","No"))))</f>
        <v>Yes</v>
      </c>
      <c r="AB5" s="976" t="s">
        <v>262</v>
      </c>
      <c r="AC5" s="463"/>
      <c r="AD5" s="463"/>
      <c r="AE5" s="971" t="s">
        <v>62</v>
      </c>
      <c r="AF5" s="464"/>
      <c r="AG5" s="464"/>
      <c r="AH5" s="954" t="s">
        <v>263</v>
      </c>
      <c r="AI5" s="465"/>
      <c r="AJ5" s="465"/>
      <c r="AK5" s="954" t="s">
        <v>62</v>
      </c>
      <c r="AL5" s="464"/>
      <c r="AM5" s="464"/>
      <c r="AN5" s="957" t="s">
        <v>264</v>
      </c>
      <c r="AO5" s="466"/>
      <c r="AP5" s="466"/>
      <c r="AQ5" s="957" t="s">
        <v>62</v>
      </c>
      <c r="AR5" s="464"/>
      <c r="AS5" s="464"/>
      <c r="AT5" s="874" t="s">
        <v>265</v>
      </c>
      <c r="AU5" s="467"/>
      <c r="AV5" s="467"/>
      <c r="AW5" s="874" t="s">
        <v>62</v>
      </c>
      <c r="AX5" s="464"/>
      <c r="AY5" s="464"/>
      <c r="AZ5" s="875" t="s">
        <v>266</v>
      </c>
      <c r="BA5" s="468"/>
      <c r="BB5" s="469"/>
      <c r="BC5" s="953" t="s">
        <v>62</v>
      </c>
      <c r="BD5" s="872">
        <v>1</v>
      </c>
      <c r="BE5" s="873">
        <f>INDEX(Cups,BD5)</f>
        <v>0</v>
      </c>
    </row>
    <row r="6" spans="3:57" ht="44.25" customHeight="1" thickBot="1">
      <c r="C6" s="982"/>
      <c r="D6" s="983"/>
      <c r="E6" s="944"/>
      <c r="F6" s="946"/>
      <c r="G6" s="995"/>
      <c r="H6" s="950"/>
      <c r="I6" s="952"/>
      <c r="J6" s="997"/>
      <c r="K6" s="807"/>
      <c r="L6" s="948"/>
      <c r="M6" s="827"/>
      <c r="N6" s="969"/>
      <c r="O6" s="948"/>
      <c r="P6" s="1002"/>
      <c r="Q6" s="973"/>
      <c r="R6" s="946"/>
      <c r="S6" s="926" t="s">
        <v>647</v>
      </c>
      <c r="T6" s="927"/>
      <c r="U6" s="927"/>
      <c r="V6" s="927"/>
      <c r="W6" s="111"/>
      <c r="X6" s="111" t="b">
        <v>1</v>
      </c>
      <c r="Y6" s="319"/>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6</v>
      </c>
      <c r="B7" s="496" t="str">
        <f>INDEX(meals,A7)</f>
        <v>Grilled Cheese Sandwich</v>
      </c>
      <c r="C7" s="502">
        <v>1</v>
      </c>
      <c r="D7" s="95"/>
      <c r="E7" s="205">
        <f>IF(B7=0,"",FLOOR(VLOOKUP(A7,'All Meals'!$A$12:$V$61,4),0.25))</f>
        <v>1.5</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319"/>
      <c r="Z7" s="974"/>
      <c r="AB7" s="955" t="s">
        <v>296</v>
      </c>
      <c r="AC7" s="937"/>
      <c r="AD7" s="937"/>
      <c r="AE7" s="939"/>
      <c r="AF7" s="865">
        <v>1</v>
      </c>
      <c r="AG7" s="867">
        <f>INDEX(Cups,AF7)</f>
        <v>0</v>
      </c>
      <c r="AH7" s="933" t="s">
        <v>297</v>
      </c>
      <c r="AI7" s="935"/>
      <c r="AJ7" s="935"/>
      <c r="AK7" s="933"/>
      <c r="AL7" s="865">
        <v>5</v>
      </c>
      <c r="AM7" s="867">
        <f>INDEX(Cups,AL7)</f>
        <v>0.5</v>
      </c>
      <c r="AN7" s="863" t="s">
        <v>298</v>
      </c>
      <c r="AO7" s="852"/>
      <c r="AP7" s="852"/>
      <c r="AQ7" s="863"/>
      <c r="AR7" s="865">
        <v>1</v>
      </c>
      <c r="AS7" s="867">
        <f>INDEX(Cups,AR7)</f>
        <v>0</v>
      </c>
      <c r="AT7" s="868" t="s">
        <v>299</v>
      </c>
      <c r="AU7" s="854"/>
      <c r="AV7" s="854"/>
      <c r="AW7" s="854"/>
      <c r="AX7" s="865">
        <v>5</v>
      </c>
      <c r="AY7" s="867">
        <f>INDEX(Cups,AX7)</f>
        <v>0.5</v>
      </c>
      <c r="AZ7" s="870" t="s">
        <v>300</v>
      </c>
      <c r="BA7" s="859"/>
      <c r="BB7" s="859"/>
      <c r="BC7" s="86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319"/>
      <c r="Z8" s="351">
        <f>IF(X8=TRUE,"No","")</f>
      </c>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B9" s="923">
        <f>IF(OR(COUNTIF(AC10:AC19,12)&gt;0,COUNTIF(AC10:AC19,2)&gt;0,COUNTIF(AC10:AC19,4)&gt;0,COUNTIF(AC10:AC19,10)&gt;0,COUNTIF(AC10:AC19,15)&gt;0,COUNTIF(AC10:AC19,17)&gt;0,),"Remember to enter CREDITABLE amounts of leafy greens!","")</f>
      </c>
      <c r="AC9" s="924"/>
      <c r="AD9" s="924"/>
      <c r="AE9" s="925"/>
      <c r="AF9" s="352"/>
      <c r="AG9" s="352"/>
      <c r="AH9" s="930">
        <f>IF(COUNTIF(AI10:AI19,10)&gt;0,"Remember to enter the CREDITABLE amount of tomato paste!","")</f>
      </c>
      <c r="AI9" s="931"/>
      <c r="AJ9" s="931"/>
      <c r="AK9" s="932"/>
      <c r="AL9" s="352"/>
      <c r="AM9" s="352"/>
      <c r="AN9" s="735">
        <f>IF(SUM(AO10:AO19)&gt;10,"If crediting as a vegetable do not also credit as a meat/meat alternate","")</f>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3</v>
      </c>
      <c r="AJ10" s="100" t="str">
        <f aca="true" t="shared" si="8" ref="AJ10:AJ19">INDEX(RED,AI10)</f>
        <v>Carrots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5</v>
      </c>
      <c r="AY10" s="320">
        <f>IF(AV10=0,"",INDEX(Cups,AX10))</f>
        <v>0.5</v>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319">
        <v>1</v>
      </c>
      <c r="X13" s="319">
        <f>INDEX(Cups,W13)</f>
        <v>0</v>
      </c>
      <c r="Y13" s="898"/>
      <c r="Z13" s="899"/>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319">
        <v>1</v>
      </c>
      <c r="X14" s="319">
        <f>INDEX(Cups,W14)</f>
        <v>0</v>
      </c>
      <c r="Y14" s="888"/>
      <c r="Z14" s="889"/>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319">
        <v>1</v>
      </c>
      <c r="X15" s="319">
        <f>INDEX(Cups,W15)</f>
        <v>0</v>
      </c>
      <c r="Y15" s="888"/>
      <c r="Z15" s="889"/>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319">
        <v>1</v>
      </c>
      <c r="X16" s="319">
        <f>INDEX(Cups,W16)</f>
        <v>0</v>
      </c>
      <c r="Y16" s="888"/>
      <c r="Z16" s="889"/>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319">
        <v>1</v>
      </c>
      <c r="X17" s="319">
        <f>INDEX(Cups,W17)</f>
        <v>0</v>
      </c>
      <c r="Y17" s="894"/>
      <c r="Z17" s="895"/>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0" t="s">
        <v>237</v>
      </c>
      <c r="U20" s="914"/>
      <c r="V20" s="915"/>
      <c r="W20" s="193"/>
      <c r="X20" s="193"/>
      <c r="Y20" s="919"/>
      <c r="Z20" s="920"/>
      <c r="AB20" s="879">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94"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95"/>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zoomScalePageLayoutView="0" workbookViewId="0" topLeftCell="A1">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6" t="s">
        <v>717</v>
      </c>
      <c r="B1" s="1017"/>
      <c r="C1" s="1017"/>
      <c r="D1" s="1017"/>
      <c r="E1" s="1017"/>
      <c r="F1" s="1017"/>
      <c r="G1" s="1017"/>
      <c r="H1" s="1017"/>
      <c r="I1" s="1018"/>
    </row>
    <row r="2" spans="1:17" ht="44.25" customHeight="1" thickBot="1">
      <c r="A2" s="1019"/>
      <c r="B2" s="1020"/>
      <c r="C2" s="1020"/>
      <c r="D2" s="1020"/>
      <c r="E2" s="1020"/>
      <c r="F2" s="1020"/>
      <c r="G2" s="1020"/>
      <c r="H2" s="1020"/>
      <c r="I2" s="1021"/>
      <c r="M2" s="323"/>
      <c r="N2" s="1022" t="s">
        <v>318</v>
      </c>
      <c r="O2" s="1023"/>
      <c r="P2" s="1023"/>
      <c r="Q2" s="1024"/>
    </row>
    <row r="3" ht="15.75" thickBot="1"/>
    <row r="4" spans="1:21" ht="52.5" customHeight="1" thickBot="1">
      <c r="A4" s="276" t="s">
        <v>167</v>
      </c>
      <c r="B4" s="285" t="s">
        <v>16</v>
      </c>
      <c r="C4" s="489" t="s">
        <v>33</v>
      </c>
      <c r="D4" s="488" t="s">
        <v>34</v>
      </c>
      <c r="E4" s="488" t="s">
        <v>35</v>
      </c>
      <c r="F4" s="488" t="s">
        <v>36</v>
      </c>
      <c r="G4" s="286" t="s">
        <v>38</v>
      </c>
      <c r="H4" s="282" t="s">
        <v>44</v>
      </c>
      <c r="I4" s="283" t="s">
        <v>37</v>
      </c>
      <c r="L4" s="1009" t="s">
        <v>101</v>
      </c>
      <c r="M4" s="1010"/>
      <c r="N4" s="1007" t="s">
        <v>97</v>
      </c>
      <c r="O4" s="1007"/>
      <c r="P4" s="1007" t="s">
        <v>98</v>
      </c>
      <c r="Q4" s="1007"/>
      <c r="R4" s="1044" t="s">
        <v>99</v>
      </c>
      <c r="S4" s="1045"/>
      <c r="T4" s="1042" t="s">
        <v>100</v>
      </c>
      <c r="U4" s="1043"/>
    </row>
    <row r="5" spans="1:21" ht="30" customHeight="1" thickBot="1">
      <c r="A5" s="287" t="s">
        <v>45</v>
      </c>
      <c r="B5" s="288">
        <f>MIN(Monday!K7:K26)</f>
        <v>0.5</v>
      </c>
      <c r="C5" s="288">
        <f>MIN(Tuesday!K7:K26)</f>
        <v>0.5</v>
      </c>
      <c r="D5" s="288">
        <f>MIN(Wednesday!K7:K26)</f>
        <v>0.5</v>
      </c>
      <c r="E5" s="288">
        <f>MIN(Thursday!K7:K26)</f>
        <v>0.5</v>
      </c>
      <c r="F5" s="288">
        <f>MIN(Friday!K7:K26)</f>
        <v>0.5</v>
      </c>
      <c r="G5" s="354">
        <f>SUM(B5:F5)</f>
        <v>2.5</v>
      </c>
      <c r="H5" s="118">
        <v>2.5</v>
      </c>
      <c r="I5" s="119" t="str">
        <f>IF(G5&gt;=H5,"Yes","No")</f>
        <v>Yes</v>
      </c>
      <c r="L5" s="1011"/>
      <c r="M5" s="1012"/>
      <c r="N5" s="1008">
        <f>S6</f>
        <v>2.5</v>
      </c>
      <c r="O5" s="1008"/>
      <c r="P5" s="1008">
        <f>S7</f>
        <v>0</v>
      </c>
      <c r="Q5" s="1008"/>
      <c r="R5" s="1038">
        <f>IF(ISERROR(P5/N5),0,P5/N5)</f>
        <v>0</v>
      </c>
      <c r="S5" s="1038"/>
      <c r="T5" s="1040" t="str">
        <f>IF(R5&lt;=0.5,"Yes","No")</f>
        <v>Yes</v>
      </c>
      <c r="U5" s="1041"/>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0.5</v>
      </c>
      <c r="Q6" s="136">
        <f>MAX(Thursday!K7:K26)</f>
        <v>0.5</v>
      </c>
      <c r="R6" s="136">
        <f>MAX(Friday!K7:K26)</f>
        <v>0.5</v>
      </c>
      <c r="S6" s="365">
        <f>SUM(N6:R6)</f>
        <v>2.5</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6" t="s">
        <v>781</v>
      </c>
      <c r="M9" s="1027"/>
      <c r="N9" s="1039" t="s">
        <v>536</v>
      </c>
      <c r="O9" s="1039"/>
      <c r="P9" s="1039" t="s">
        <v>537</v>
      </c>
      <c r="Q9" s="1039"/>
      <c r="R9" s="1046" t="s">
        <v>538</v>
      </c>
      <c r="S9" s="1047"/>
      <c r="T9" s="1042" t="s">
        <v>100</v>
      </c>
      <c r="U9" s="1043"/>
      <c r="V9" s="124"/>
    </row>
    <row r="10" spans="1:22" ht="30.75" customHeight="1" thickBot="1">
      <c r="A10" s="129" t="s">
        <v>39</v>
      </c>
      <c r="B10" s="130">
        <f>MIN(Monday!N7:N26)</f>
        <v>0.75</v>
      </c>
      <c r="C10" s="130">
        <f>MIN(Tuesday!N7:N26)</f>
        <v>0.75</v>
      </c>
      <c r="D10" s="130">
        <f>MIN(Wednesday!N7:N26)</f>
        <v>1.25</v>
      </c>
      <c r="E10" s="130">
        <f>MIN(Thursday!N7:N26)</f>
        <v>0.875</v>
      </c>
      <c r="F10" s="130">
        <f>MIN(Friday!N7:N26)</f>
        <v>1</v>
      </c>
      <c r="G10" s="131">
        <f aca="true" t="shared" si="0" ref="G10:G17">SUM(B10:F10)</f>
        <v>4.625</v>
      </c>
      <c r="H10" s="641">
        <v>3.75</v>
      </c>
      <c r="I10" s="133" t="str">
        <f aca="true" t="shared" si="1" ref="I10:I17">IF(G10&gt;=H10,"Yes","No")</f>
        <v>Yes</v>
      </c>
      <c r="L10" s="1028"/>
      <c r="M10" s="1029"/>
      <c r="N10" s="1008">
        <f>S11</f>
        <v>4.625</v>
      </c>
      <c r="O10" s="1008"/>
      <c r="P10" s="1008">
        <f>S12</f>
        <v>0</v>
      </c>
      <c r="Q10" s="1008"/>
      <c r="R10" s="1038">
        <f>IF(ISERROR(P10/N10),0,P10/N10)</f>
        <v>0</v>
      </c>
      <c r="S10" s="1038"/>
      <c r="T10" s="1040" t="str">
        <f>IF(R10&lt;=0.5,"Yes","No")</f>
        <v>Yes</v>
      </c>
      <c r="U10" s="1041"/>
      <c r="V10" s="124"/>
    </row>
    <row r="11" spans="1:22" ht="30.75" customHeight="1" hidden="1">
      <c r="A11" s="473"/>
      <c r="B11" s="474"/>
      <c r="C11" s="474"/>
      <c r="D11" s="474"/>
      <c r="E11" s="474"/>
      <c r="F11" s="474"/>
      <c r="G11" s="475"/>
      <c r="H11" s="476"/>
      <c r="I11" s="477"/>
      <c r="L11" s="346"/>
      <c r="M11" s="346"/>
      <c r="N11" s="136">
        <f>MAX(Monday!N7:N26)</f>
        <v>0.75</v>
      </c>
      <c r="O11" s="136">
        <f>MAX(Tuesday!N7:N26)</f>
        <v>0.75</v>
      </c>
      <c r="P11" s="136">
        <f>MAX(Wednesday!N7:N26)</f>
        <v>1.25</v>
      </c>
      <c r="Q11" s="136">
        <f>MAX(Thursday!N7:N26)</f>
        <v>0.875</v>
      </c>
      <c r="R11" s="136">
        <f>MAX(Friday!N7:N26)</f>
        <v>1</v>
      </c>
      <c r="S11" s="365">
        <f>SUM(N11:R11)</f>
        <v>4.625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0.625</v>
      </c>
      <c r="D13" s="135">
        <f>IF(Wednesday!AR3=TRUE,SUM('Optional VegBar'!G16,Wednesday!AG7),Wednesday!AG7)</f>
        <v>0.5</v>
      </c>
      <c r="E13" s="135">
        <f>IF(Thursday!AR3=TRUE,SUM('Optional VegBar'!G16,Thursday!AG7),Thursday!AG7)</f>
        <v>0</v>
      </c>
      <c r="F13" s="135">
        <f>IF(Friday!AR3=TRUE,SUM('Optional VegBar'!G16,Friday!AG7),Friday!AG7)</f>
        <v>0</v>
      </c>
      <c r="G13" s="136">
        <f t="shared" si="0"/>
        <v>1.125</v>
      </c>
      <c r="H13" s="137">
        <v>0.5</v>
      </c>
      <c r="I13" s="138" t="str">
        <f t="shared" si="1"/>
        <v>Yes</v>
      </c>
      <c r="L13" s="1025" t="s">
        <v>587</v>
      </c>
      <c r="M13" s="1025"/>
      <c r="N13" s="1025"/>
      <c r="O13" s="1025"/>
      <c r="P13" s="1025"/>
      <c r="Q13" s="1025"/>
      <c r="R13" s="1025"/>
      <c r="S13" s="1025"/>
      <c r="T13" s="1025"/>
      <c r="U13" s="1025"/>
      <c r="V13" s="472"/>
    </row>
    <row r="14" spans="1:22" ht="33" customHeight="1" thickTop="1">
      <c r="A14" s="139" t="s">
        <v>454</v>
      </c>
      <c r="B14" s="140">
        <f>IF(Monday!AR3=TRUE,SUM('Optional VegBar'!M16,Monday!AM7),Monday!AM7)</f>
        <v>0</v>
      </c>
      <c r="C14" s="140">
        <f>IF(Tuesday!AR3=TRUE,SUM('Optional VegBar'!M16,Tuesday!AM7),Tuesday!AM7)</f>
        <v>0.125</v>
      </c>
      <c r="D14" s="140">
        <f>IF(Wednesday!AR3=TRUE,SUM('Optional VegBar'!M16,Wednesday!AM7),Wednesday!AM7)</f>
        <v>0.5</v>
      </c>
      <c r="E14" s="140">
        <f>IF(Thursday!AR3=TRUE,SUM('Optional VegBar'!M16,Thursday!AM7),Thursday!AM7)</f>
        <v>0.125</v>
      </c>
      <c r="F14" s="140">
        <f>IF(Friday!AR3=TRUE,SUM('Optional VegBar'!M16,Friday!AM7),Friday!AM7)</f>
        <v>0.5</v>
      </c>
      <c r="G14" s="141">
        <f t="shared" si="0"/>
        <v>1.25</v>
      </c>
      <c r="H14" s="116">
        <v>0.75</v>
      </c>
      <c r="I14" s="117" t="str">
        <f t="shared" si="1"/>
        <v>Yes</v>
      </c>
      <c r="L14" s="1030"/>
      <c r="M14" s="1031"/>
      <c r="N14" s="1031"/>
      <c r="O14" s="1031"/>
      <c r="P14" s="1031"/>
      <c r="Q14" s="1031"/>
      <c r="R14" s="1031"/>
      <c r="S14" s="1031"/>
      <c r="T14" s="1031"/>
      <c r="U14" s="1032"/>
      <c r="V14" s="324"/>
    </row>
    <row r="15" spans="1:22" ht="38.25" customHeight="1">
      <c r="A15" s="139" t="s">
        <v>455</v>
      </c>
      <c r="B15" s="140">
        <f>IF(Monday!AR3=TRUE,SUM('Optional VegBar'!S16,Monday!AS7),Monday!AS7)</f>
        <v>0.5</v>
      </c>
      <c r="C15" s="140">
        <f>IF(Tuesday!AR3=TRUE,SUM('Optional VegBar'!S16,Tuesday!AS7),Tuesday!AS7)</f>
        <v>0</v>
      </c>
      <c r="D15" s="140">
        <f>IF(Wednesday!AR3=TRUE,SUM('Optional VegBar'!S16,Wednesday!AS7),Wednesday!AS7)</f>
        <v>0</v>
      </c>
      <c r="E15" s="140">
        <f>IF(Thursday!AR3=TRUE,SUM('Optional VegBar'!S16,Thursday!AS7),Thursday!AS7)</f>
        <v>0.125</v>
      </c>
      <c r="F15" s="140">
        <f>IF(Friday!AR3=TRUE,SUM('Optional VegBar'!S16,Friday!AS7),Friday!AS7)</f>
        <v>0</v>
      </c>
      <c r="G15" s="141">
        <f t="shared" si="0"/>
        <v>0.625</v>
      </c>
      <c r="H15" s="116">
        <v>0.5</v>
      </c>
      <c r="I15" s="117" t="str">
        <f t="shared" si="1"/>
        <v>Yes</v>
      </c>
      <c r="L15" s="1033"/>
      <c r="M15" s="872"/>
      <c r="N15" s="872"/>
      <c r="O15" s="872"/>
      <c r="P15" s="872"/>
      <c r="Q15" s="872"/>
      <c r="R15" s="872"/>
      <c r="S15" s="872"/>
      <c r="T15" s="872"/>
      <c r="U15" s="1034"/>
      <c r="V15" s="324"/>
    </row>
    <row r="16" spans="1:22" ht="35.25" customHeight="1">
      <c r="A16" s="139" t="s">
        <v>456</v>
      </c>
      <c r="B16" s="140">
        <f>IF(Monday!AR3=TRUE,SUM('Optional VegBar'!Y16,Monday!AY7),Monday!AY7)</f>
        <v>0</v>
      </c>
      <c r="C16" s="140">
        <f>IF(Tuesday!AR3=TRUE,SUM('Optional VegBar'!Y16,Tuesday!AY7),Tuesday!AY7)</f>
        <v>0</v>
      </c>
      <c r="D16" s="140">
        <f>IF(Wednesday!AR3=TRUE,SUM('Optional VegBar'!Y16,Wednesday!AY7),Wednesday!AY7)</f>
        <v>0</v>
      </c>
      <c r="E16" s="140">
        <f>IF(Thursday!AR3=TRUE,SUM('Optional VegBar'!Y16,Thursday!AY7),Thursday!AY7)</f>
        <v>0.5</v>
      </c>
      <c r="F16" s="140">
        <f>IF(Friday!AR3=TRUE,SUM('Optional VegBar'!Y16,Friday!AY7),Friday!AY7)</f>
        <v>0.5</v>
      </c>
      <c r="G16" s="141">
        <f t="shared" si="0"/>
        <v>1</v>
      </c>
      <c r="H16" s="116">
        <v>0.5</v>
      </c>
      <c r="I16" s="117" t="str">
        <f t="shared" si="1"/>
        <v>Yes</v>
      </c>
      <c r="L16" s="1033"/>
      <c r="M16" s="872"/>
      <c r="N16" s="872"/>
      <c r="O16" s="872"/>
      <c r="P16" s="872"/>
      <c r="Q16" s="872"/>
      <c r="R16" s="872"/>
      <c r="S16" s="872"/>
      <c r="T16" s="872"/>
      <c r="U16" s="1034"/>
      <c r="V16" s="324"/>
    </row>
    <row r="17" spans="1:22" ht="48.75" customHeight="1" thickBot="1">
      <c r="A17" s="142" t="s">
        <v>457</v>
      </c>
      <c r="B17" s="143">
        <f>IF(Monday!AR3=TRUE,SUM('Optional VegBar'!AE16,Monday!BE5),Monday!BE5)</f>
        <v>0.25</v>
      </c>
      <c r="C17" s="143">
        <f>IF(Tuesday!AR3=TRUE,SUM('Optional VegBar'!AE16,Tuesday!BE5),Tuesday!BE5)</f>
        <v>0</v>
      </c>
      <c r="D17" s="143">
        <f>IF(Wednesday!AR3=TRUE,SUM('Optional VegBar'!AE16,Wednesday!BE5),Wednesday!BE5)</f>
        <v>0.25</v>
      </c>
      <c r="E17" s="143">
        <f>IF(Thursday!AR3=TRUE,SUM('Optional VegBar'!AE16,Thursday!BE5),Thursday!BE5)</f>
        <v>0</v>
      </c>
      <c r="F17" s="143">
        <f>IF(Friday!AR3=TRUE,SUM('Optional VegBar'!AE16,Friday!BE5),Friday!BE5)</f>
        <v>0</v>
      </c>
      <c r="G17" s="368">
        <f t="shared" si="0"/>
        <v>0.5</v>
      </c>
      <c r="H17" s="118">
        <v>0.5</v>
      </c>
      <c r="I17" s="119" t="str">
        <f t="shared" si="1"/>
        <v>Yes</v>
      </c>
      <c r="L17" s="1033"/>
      <c r="M17" s="872"/>
      <c r="N17" s="872"/>
      <c r="O17" s="872"/>
      <c r="P17" s="872"/>
      <c r="Q17" s="872"/>
      <c r="R17" s="872"/>
      <c r="S17" s="872"/>
      <c r="T17" s="872"/>
      <c r="U17" s="1034"/>
      <c r="V17" s="324"/>
    </row>
    <row r="18" spans="1:22" s="145" customFormat="1" ht="7.5" customHeight="1" thickBot="1">
      <c r="A18" s="144"/>
      <c r="B18" s="122"/>
      <c r="C18" s="122"/>
      <c r="D18" s="122"/>
      <c r="E18" s="122"/>
      <c r="F18" s="122"/>
      <c r="G18" s="122"/>
      <c r="H18" s="122"/>
      <c r="I18" s="123"/>
      <c r="L18" s="1033"/>
      <c r="M18" s="872"/>
      <c r="N18" s="872"/>
      <c r="O18" s="872"/>
      <c r="P18" s="872"/>
      <c r="Q18" s="872"/>
      <c r="R18" s="872"/>
      <c r="S18" s="872"/>
      <c r="T18" s="872"/>
      <c r="U18" s="1034"/>
      <c r="V18" s="324"/>
    </row>
    <row r="19" spans="2:22" ht="48" thickBot="1">
      <c r="B19" s="125" t="s">
        <v>16</v>
      </c>
      <c r="C19" s="490" t="s">
        <v>33</v>
      </c>
      <c r="D19" s="490" t="s">
        <v>34</v>
      </c>
      <c r="E19" s="490" t="s">
        <v>35</v>
      </c>
      <c r="F19" s="490" t="s">
        <v>36</v>
      </c>
      <c r="G19" s="126" t="s">
        <v>38</v>
      </c>
      <c r="H19" s="127" t="s">
        <v>94</v>
      </c>
      <c r="I19" s="128" t="s">
        <v>37</v>
      </c>
      <c r="L19" s="1033"/>
      <c r="M19" s="872"/>
      <c r="N19" s="872"/>
      <c r="O19" s="872"/>
      <c r="P19" s="872"/>
      <c r="Q19" s="872"/>
      <c r="R19" s="872"/>
      <c r="S19" s="872"/>
      <c r="T19" s="872"/>
      <c r="U19" s="1034"/>
      <c r="V19" s="324"/>
    </row>
    <row r="20" spans="1:22" ht="36" customHeight="1">
      <c r="A20" s="162" t="s">
        <v>42</v>
      </c>
      <c r="B20" s="280">
        <f>MIN(Monday!E7:E26)</f>
        <v>2</v>
      </c>
      <c r="C20" s="280">
        <f>MIN(Tuesday!E7:E26)</f>
        <v>2</v>
      </c>
      <c r="D20" s="280">
        <f>MIN(Wednesday!E7:E26)</f>
        <v>2</v>
      </c>
      <c r="E20" s="280">
        <f>MIN(Thursday!E7:E26)</f>
        <v>2</v>
      </c>
      <c r="F20" s="280">
        <f>MIN(Friday!E7:E26)</f>
        <v>1.5</v>
      </c>
      <c r="G20" s="278">
        <f>SUM(B20:F20)</f>
        <v>9.5</v>
      </c>
      <c r="H20" s="147">
        <v>9</v>
      </c>
      <c r="I20" s="138" t="str">
        <f>IF(G20&gt;=H20,"Yes","No")</f>
        <v>Yes</v>
      </c>
      <c r="L20" s="1033"/>
      <c r="M20" s="872"/>
      <c r="N20" s="872"/>
      <c r="O20" s="872"/>
      <c r="P20" s="872"/>
      <c r="Q20" s="872"/>
      <c r="R20" s="872"/>
      <c r="S20" s="872"/>
      <c r="T20" s="872"/>
      <c r="U20" s="1034"/>
      <c r="V20" s="324"/>
    </row>
    <row r="21" spans="1:22" ht="36" customHeight="1" thickBot="1">
      <c r="A21" s="163" t="s">
        <v>43</v>
      </c>
      <c r="B21" s="281">
        <f>MAX(Monday!E7:E26)</f>
        <v>2</v>
      </c>
      <c r="C21" s="281">
        <f>MAX(Tuesday!E7:E26)</f>
        <v>2</v>
      </c>
      <c r="D21" s="281">
        <f>MAX(Wednesday!E7:E26)</f>
        <v>2</v>
      </c>
      <c r="E21" s="281">
        <f>MAX(Thursday!E7:E26)</f>
        <v>2</v>
      </c>
      <c r="F21" s="281">
        <f>MAX(Friday!E7:E26)</f>
        <v>1.5</v>
      </c>
      <c r="G21" s="279">
        <f>SUM(B21:F21)</f>
        <v>9.5</v>
      </c>
      <c r="H21" s="149">
        <v>10</v>
      </c>
      <c r="I21" s="119" t="str">
        <f>IF(G21=0,"No",IF(AND(G21&lt;=H21,G21&gt;=H20),"Yes","No"))</f>
        <v>Yes</v>
      </c>
      <c r="L21" s="1035"/>
      <c r="M21" s="1036"/>
      <c r="N21" s="1036"/>
      <c r="O21" s="1036"/>
      <c r="P21" s="1036"/>
      <c r="Q21" s="1036"/>
      <c r="R21" s="1036"/>
      <c r="S21" s="1036"/>
      <c r="T21" s="1036"/>
      <c r="U21" s="1037"/>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48"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2</v>
      </c>
      <c r="C24" s="277">
        <f>MIN(Tuesday!G7:G26)</f>
        <v>2</v>
      </c>
      <c r="D24" s="277">
        <f>MIN(Wednesday!G7:G26)</f>
        <v>1</v>
      </c>
      <c r="E24" s="277">
        <f>MIN(Thursday!G7:G26)</f>
        <v>1.5</v>
      </c>
      <c r="F24" s="277">
        <f>MIN(Friday!G7:G26)</f>
        <v>2</v>
      </c>
      <c r="G24" s="278">
        <f>SUM(B24:F24)</f>
        <v>8.5</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2</v>
      </c>
      <c r="C25" s="277">
        <f>MAX(Tuesday!G7:G26)</f>
        <v>2</v>
      </c>
      <c r="D25" s="277">
        <f>MAX(Wednesday!G7:G26)</f>
        <v>1</v>
      </c>
      <c r="E25" s="277">
        <f>MAX(Thursday!G7:G26)</f>
        <v>1.5</v>
      </c>
      <c r="F25" s="277">
        <f>MAX(Friday!G7:G26)</f>
        <v>2</v>
      </c>
      <c r="G25" s="279">
        <f>SUM(B25:F25)</f>
        <v>8.5</v>
      </c>
      <c r="H25" s="149">
        <v>9</v>
      </c>
      <c r="I25" s="119" t="str">
        <f>IF(G25=0,"No",IF(AND(G25&lt;=H25,G25&gt;=H24),"Yes","No"))</f>
        <v>Yes</v>
      </c>
      <c r="M25" s="367"/>
      <c r="N25" s="367"/>
      <c r="O25" s="367"/>
      <c r="P25" s="367"/>
      <c r="Q25" s="367"/>
      <c r="R25" s="367"/>
      <c r="S25" s="367"/>
      <c r="T25" s="367"/>
      <c r="U25" s="367"/>
      <c r="V25" s="367"/>
    </row>
    <row r="26" spans="1:22" ht="32.25" customHeight="1" thickBot="1">
      <c r="A26" s="1013" t="s">
        <v>46</v>
      </c>
      <c r="B26" s="1014"/>
      <c r="C26" s="1014"/>
      <c r="D26" s="1014"/>
      <c r="E26" s="1014"/>
      <c r="F26" s="1015"/>
      <c r="G26" s="185">
        <f>SUM(B27:F27)</f>
        <v>0</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8.5</v>
      </c>
      <c r="D28" s="154" t="s">
        <v>92</v>
      </c>
      <c r="E28" s="187">
        <f>SUM(Monday:Friday!I7:I26)</f>
        <v>7.5</v>
      </c>
      <c r="F28" s="155" t="s">
        <v>91</v>
      </c>
      <c r="G28" s="316">
        <f>IF(ISERROR(E28/C28),0,E28/C28)</f>
        <v>0.8823529411764706</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3" t="s">
        <v>88</v>
      </c>
      <c r="B1" s="1064"/>
      <c r="C1" s="1064"/>
      <c r="D1" s="1064"/>
      <c r="E1" s="1064"/>
      <c r="F1" s="1064"/>
      <c r="G1" s="1064"/>
      <c r="H1" s="1064"/>
      <c r="I1" s="1064"/>
      <c r="J1" s="1065"/>
    </row>
    <row r="2" spans="1:10" ht="23.25" customHeight="1" thickBot="1">
      <c r="A2" s="1056" t="s">
        <v>167</v>
      </c>
      <c r="B2" s="1056"/>
      <c r="C2" s="1056"/>
      <c r="D2" s="1056"/>
      <c r="E2" s="1056"/>
      <c r="F2" s="1056"/>
      <c r="G2" s="1056"/>
      <c r="H2" s="1056"/>
      <c r="I2" s="1056"/>
      <c r="J2" s="1056"/>
    </row>
    <row r="3" spans="1:10" s="197" customFormat="1" ht="33.75" customHeight="1" thickBot="1">
      <c r="A3" s="1066" t="s">
        <v>16</v>
      </c>
      <c r="B3" s="1067"/>
      <c r="C3" s="1066" t="s">
        <v>33</v>
      </c>
      <c r="D3" s="1067"/>
      <c r="E3" s="1066" t="s">
        <v>34</v>
      </c>
      <c r="F3" s="1067"/>
      <c r="G3" s="1066" t="s">
        <v>35</v>
      </c>
      <c r="H3" s="1067"/>
      <c r="I3" s="1066" t="s">
        <v>36</v>
      </c>
      <c r="J3" s="1067"/>
    </row>
    <row r="4" spans="1:10" ht="33.75" customHeight="1" thickBot="1">
      <c r="A4" s="1054" t="s">
        <v>81</v>
      </c>
      <c r="B4" s="1055"/>
      <c r="C4" s="1054" t="s">
        <v>81</v>
      </c>
      <c r="D4" s="1055"/>
      <c r="E4" s="1054" t="s">
        <v>81</v>
      </c>
      <c r="F4" s="1055"/>
      <c r="G4" s="1054" t="s">
        <v>81</v>
      </c>
      <c r="H4" s="1055"/>
      <c r="I4" s="1054" t="s">
        <v>81</v>
      </c>
      <c r="J4" s="1055"/>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57" t="s">
        <v>82</v>
      </c>
      <c r="B15" s="1058"/>
      <c r="C15" s="1057" t="s">
        <v>82</v>
      </c>
      <c r="D15" s="1058"/>
      <c r="E15" s="1057" t="s">
        <v>82</v>
      </c>
      <c r="F15" s="1058"/>
      <c r="G15" s="1057" t="s">
        <v>82</v>
      </c>
      <c r="H15" s="1058"/>
      <c r="I15" s="1057" t="s">
        <v>82</v>
      </c>
      <c r="J15" s="1058"/>
    </row>
    <row r="16" spans="1:10" s="67" customFormat="1" ht="39" customHeight="1">
      <c r="A16" s="1059" t="s">
        <v>83</v>
      </c>
      <c r="B16" s="1060"/>
      <c r="C16" s="1059" t="s">
        <v>83</v>
      </c>
      <c r="D16" s="1060"/>
      <c r="E16" s="1059" t="s">
        <v>83</v>
      </c>
      <c r="F16" s="1060"/>
      <c r="G16" s="1059" t="s">
        <v>83</v>
      </c>
      <c r="H16" s="1060"/>
      <c r="I16" s="1059" t="s">
        <v>83</v>
      </c>
      <c r="J16" s="1060"/>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61" t="s">
        <v>84</v>
      </c>
      <c r="B22" s="1062"/>
      <c r="C22" s="1061" t="s">
        <v>84</v>
      </c>
      <c r="D22" s="1062"/>
      <c r="E22" s="1061" t="s">
        <v>84</v>
      </c>
      <c r="F22" s="1062"/>
      <c r="G22" s="1061" t="s">
        <v>84</v>
      </c>
      <c r="H22" s="1062"/>
      <c r="I22" s="1061" t="s">
        <v>84</v>
      </c>
      <c r="J22" s="1062"/>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2" t="s">
        <v>85</v>
      </c>
      <c r="B28" s="1053"/>
      <c r="C28" s="1052" t="s">
        <v>85</v>
      </c>
      <c r="D28" s="1053"/>
      <c r="E28" s="1052" t="s">
        <v>85</v>
      </c>
      <c r="F28" s="1053"/>
      <c r="G28" s="1052" t="s">
        <v>85</v>
      </c>
      <c r="H28" s="1053"/>
      <c r="I28" s="1052" t="s">
        <v>85</v>
      </c>
      <c r="J28" s="1053"/>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48" t="s">
        <v>86</v>
      </c>
      <c r="B34" s="1049"/>
      <c r="C34" s="1048" t="s">
        <v>86</v>
      </c>
      <c r="D34" s="1049"/>
      <c r="E34" s="1048" t="s">
        <v>86</v>
      </c>
      <c r="F34" s="1049"/>
      <c r="G34" s="1048" t="s">
        <v>86</v>
      </c>
      <c r="H34" s="1049"/>
      <c r="I34" s="1048" t="s">
        <v>86</v>
      </c>
      <c r="J34" s="1049"/>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0" t="s">
        <v>87</v>
      </c>
      <c r="B40" s="1051"/>
      <c r="C40" s="1050" t="s">
        <v>87</v>
      </c>
      <c r="D40" s="1051"/>
      <c r="E40" s="1050" t="s">
        <v>87</v>
      </c>
      <c r="F40" s="1051"/>
      <c r="G40" s="1050" t="s">
        <v>87</v>
      </c>
      <c r="H40" s="1051"/>
      <c r="I40" s="1050" t="s">
        <v>87</v>
      </c>
      <c r="J40" s="1051"/>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12" t="s">
        <v>17</v>
      </c>
      <c r="C1" s="1086"/>
      <c r="D1" s="1086"/>
      <c r="E1" s="1086"/>
      <c r="F1" s="1086"/>
      <c r="G1" s="1086"/>
      <c r="H1" s="1086"/>
      <c r="I1" s="1086"/>
      <c r="J1" s="1086"/>
      <c r="K1" s="1086"/>
      <c r="L1" s="1086"/>
      <c r="M1" s="1086"/>
      <c r="N1" s="1086"/>
      <c r="O1" s="1086"/>
      <c r="P1" s="1086"/>
      <c r="Q1" s="1086"/>
      <c r="R1" s="1087"/>
    </row>
    <row r="2" spans="2:50" ht="51.75" customHeight="1" thickBot="1">
      <c r="B2" s="1088" t="s">
        <v>32</v>
      </c>
      <c r="C2" s="1088"/>
      <c r="D2" s="1088"/>
      <c r="E2" s="1088"/>
      <c r="F2" s="1088"/>
      <c r="G2" s="1088"/>
      <c r="H2" s="1088"/>
      <c r="I2" s="1088"/>
      <c r="J2" s="1088"/>
      <c r="K2" s="1088"/>
      <c r="L2" s="1088"/>
      <c r="M2" s="1088"/>
      <c r="N2" s="1088"/>
      <c r="O2" s="1088"/>
      <c r="P2" s="1088"/>
      <c r="Q2" s="1088"/>
      <c r="R2" s="1088"/>
      <c r="S2" s="1088"/>
      <c r="AB2" s="1089" t="s">
        <v>79</v>
      </c>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2:50" ht="19.5" customHeight="1" thickBot="1">
      <c r="B3" s="1092" t="s">
        <v>16</v>
      </c>
      <c r="C3" s="1093"/>
      <c r="D3" s="1093"/>
      <c r="E3" s="1093"/>
      <c r="F3" s="1093"/>
      <c r="G3" s="1093"/>
      <c r="H3" s="1093"/>
      <c r="I3" s="1093"/>
      <c r="J3" s="1093"/>
      <c r="K3" s="1093"/>
      <c r="L3" s="1093"/>
      <c r="M3" s="1093"/>
      <c r="N3" s="1093"/>
      <c r="O3" s="1093"/>
      <c r="P3" s="1093"/>
      <c r="Q3" s="1093"/>
      <c r="R3" s="1094"/>
      <c r="AB3" s="1095" t="s">
        <v>57</v>
      </c>
      <c r="AC3" s="42"/>
      <c r="AD3" s="1097" t="s">
        <v>62</v>
      </c>
      <c r="AE3" s="43"/>
      <c r="AF3" s="43"/>
      <c r="AG3" s="1099" t="s">
        <v>61</v>
      </c>
      <c r="AH3" s="54"/>
      <c r="AI3" s="1099" t="s">
        <v>62</v>
      </c>
      <c r="AJ3" s="43"/>
      <c r="AK3" s="43"/>
      <c r="AL3" s="1101" t="s">
        <v>58</v>
      </c>
      <c r="AM3" s="55"/>
      <c r="AN3" s="1101" t="s">
        <v>62</v>
      </c>
      <c r="AO3" s="43"/>
      <c r="AP3" s="43"/>
      <c r="AQ3" s="1068" t="s">
        <v>59</v>
      </c>
      <c r="AR3" s="56"/>
      <c r="AS3" s="1068" t="s">
        <v>62</v>
      </c>
      <c r="AT3" s="43"/>
      <c r="AU3" s="43"/>
      <c r="AV3" s="1070" t="s">
        <v>60</v>
      </c>
      <c r="AW3" s="44"/>
      <c r="AX3" s="1072" t="s">
        <v>62</v>
      </c>
    </row>
    <row r="4" spans="2:52" ht="35.25" customHeight="1">
      <c r="B4" s="26" t="s">
        <v>64</v>
      </c>
      <c r="C4" s="1074" t="s">
        <v>1</v>
      </c>
      <c r="D4" s="1075"/>
      <c r="E4" s="1075"/>
      <c r="F4" s="1075"/>
      <c r="G4" s="1075"/>
      <c r="H4" s="1075"/>
      <c r="I4" s="1075"/>
      <c r="J4" s="1076"/>
      <c r="K4" s="1077" t="s">
        <v>15</v>
      </c>
      <c r="L4" s="1078"/>
      <c r="M4" s="722" t="s">
        <v>2</v>
      </c>
      <c r="N4" s="724"/>
      <c r="O4" s="1079" t="s">
        <v>23</v>
      </c>
      <c r="P4" s="1080"/>
      <c r="Q4" s="1081" t="s">
        <v>3</v>
      </c>
      <c r="R4" s="1082"/>
      <c r="S4" s="1083" t="s">
        <v>30</v>
      </c>
      <c r="T4" s="1084"/>
      <c r="U4" s="1084"/>
      <c r="V4" s="1084"/>
      <c r="W4" s="1084"/>
      <c r="X4" s="1084"/>
      <c r="Y4" s="1084"/>
      <c r="Z4" s="1085"/>
      <c r="AB4" s="1096"/>
      <c r="AC4" s="34" t="s">
        <v>63</v>
      </c>
      <c r="AD4" s="1098"/>
      <c r="AE4" s="35" t="s">
        <v>65</v>
      </c>
      <c r="AF4" s="35" t="s">
        <v>66</v>
      </c>
      <c r="AG4" s="1100"/>
      <c r="AH4" s="57" t="s">
        <v>69</v>
      </c>
      <c r="AI4" s="1100"/>
      <c r="AJ4" s="35" t="s">
        <v>67</v>
      </c>
      <c r="AK4" s="35" t="s">
        <v>68</v>
      </c>
      <c r="AL4" s="1102"/>
      <c r="AM4" s="58" t="s">
        <v>70</v>
      </c>
      <c r="AN4" s="1102"/>
      <c r="AO4" s="35" t="s">
        <v>71</v>
      </c>
      <c r="AP4" s="35" t="s">
        <v>72</v>
      </c>
      <c r="AQ4" s="1069"/>
      <c r="AR4" s="59" t="s">
        <v>73</v>
      </c>
      <c r="AS4" s="1069"/>
      <c r="AT4" s="35" t="s">
        <v>74</v>
      </c>
      <c r="AU4" s="35" t="s">
        <v>75</v>
      </c>
      <c r="AV4" s="1071"/>
      <c r="AW4" s="36" t="s">
        <v>76</v>
      </c>
      <c r="AX4" s="1073"/>
      <c r="AY4" s="23" t="s">
        <v>77</v>
      </c>
      <c r="AZ4" s="23" t="s">
        <v>78</v>
      </c>
    </row>
    <row r="5" spans="2:52" ht="34.5" customHeight="1">
      <c r="B5" s="1113" t="s">
        <v>0</v>
      </c>
      <c r="C5" s="806" t="s">
        <v>4</v>
      </c>
      <c r="D5" s="949" t="s">
        <v>18</v>
      </c>
      <c r="E5" s="1117" t="s">
        <v>13</v>
      </c>
      <c r="F5" s="32"/>
      <c r="G5" s="32"/>
      <c r="H5" s="32"/>
      <c r="I5" s="32"/>
      <c r="J5" s="945" t="s">
        <v>51</v>
      </c>
      <c r="K5" s="785" t="s">
        <v>9</v>
      </c>
      <c r="L5" s="945" t="s">
        <v>19</v>
      </c>
      <c r="M5" s="994" t="s">
        <v>31</v>
      </c>
      <c r="N5" s="945" t="s">
        <v>20</v>
      </c>
      <c r="O5" s="943" t="s">
        <v>24</v>
      </c>
      <c r="P5" s="945" t="s">
        <v>22</v>
      </c>
      <c r="Q5" s="1106" t="s">
        <v>10</v>
      </c>
      <c r="R5" s="947" t="s">
        <v>21</v>
      </c>
      <c r="S5" s="926" t="s">
        <v>25</v>
      </c>
      <c r="T5" s="927"/>
      <c r="U5" s="927"/>
      <c r="V5" s="927"/>
      <c r="W5" s="24"/>
      <c r="X5" s="24" t="b">
        <v>0</v>
      </c>
      <c r="Y5" s="25"/>
      <c r="Z5" s="1112"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14"/>
      <c r="C6" s="1115"/>
      <c r="D6" s="1116"/>
      <c r="E6" s="1118"/>
      <c r="F6" s="33"/>
      <c r="G6" s="33" t="s">
        <v>14</v>
      </c>
      <c r="H6" s="33"/>
      <c r="I6" s="33"/>
      <c r="J6" s="1108"/>
      <c r="K6" s="1109"/>
      <c r="L6" s="1108"/>
      <c r="M6" s="1110"/>
      <c r="N6" s="1108"/>
      <c r="O6" s="1111"/>
      <c r="P6" s="1108"/>
      <c r="Q6" s="1107"/>
      <c r="R6" s="1105"/>
      <c r="S6" s="926" t="s">
        <v>26</v>
      </c>
      <c r="T6" s="927"/>
      <c r="U6" s="927"/>
      <c r="V6" s="927"/>
      <c r="W6" s="24"/>
      <c r="X6" s="24" t="b">
        <v>0</v>
      </c>
      <c r="Y6" s="25"/>
      <c r="Z6" s="1112"/>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6" t="s">
        <v>27</v>
      </c>
      <c r="T7" s="927"/>
      <c r="U7" s="927"/>
      <c r="V7" s="927"/>
      <c r="W7" s="24"/>
      <c r="X7" s="24" t="b">
        <v>0</v>
      </c>
      <c r="Y7" s="25"/>
      <c r="Z7" s="1112"/>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6" t="s">
        <v>28</v>
      </c>
      <c r="T8" s="927"/>
      <c r="U8" s="927"/>
      <c r="V8" s="927"/>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3" t="s">
        <v>29</v>
      </c>
      <c r="T9" s="1104"/>
      <c r="U9" s="1104"/>
      <c r="V9" s="1104"/>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290" t="s">
        <v>780</v>
      </c>
      <c r="B1" s="1086"/>
      <c r="C1" s="1086"/>
      <c r="D1" s="1086"/>
      <c r="E1" s="1086"/>
      <c r="F1" s="1086"/>
      <c r="G1" s="1086"/>
      <c r="H1" s="1086"/>
      <c r="I1" s="1086"/>
      <c r="J1" s="1086"/>
      <c r="K1" s="1086"/>
      <c r="L1" s="1086"/>
      <c r="M1" s="1086"/>
      <c r="N1" s="1086"/>
      <c r="O1" s="1086"/>
      <c r="P1" s="1086"/>
      <c r="Q1" s="1086"/>
      <c r="R1" s="1086"/>
      <c r="S1" s="1086"/>
      <c r="T1" s="1086"/>
      <c r="U1" s="1086"/>
      <c r="V1" s="1086"/>
      <c r="W1" s="1086"/>
      <c r="X1" s="1087"/>
      <c r="Y1" s="530"/>
    </row>
    <row r="2" spans="1:25" s="196" customFormat="1" ht="54" customHeight="1" thickBot="1">
      <c r="A2" s="1291" t="s">
        <v>166</v>
      </c>
      <c r="B2" s="1292"/>
      <c r="C2" s="1292"/>
      <c r="D2" s="1292"/>
      <c r="E2" s="1292"/>
      <c r="F2" s="1292"/>
      <c r="G2" s="1292"/>
      <c r="H2" s="1292"/>
      <c r="I2" s="1292"/>
      <c r="J2" s="1292"/>
      <c r="K2" s="1292"/>
      <c r="L2" s="1292"/>
      <c r="M2" s="1293" t="s">
        <v>609</v>
      </c>
      <c r="N2" s="1293"/>
      <c r="O2" s="1293"/>
      <c r="P2" s="1293"/>
      <c r="Q2" s="668"/>
      <c r="R2" s="668"/>
      <c r="S2" s="668"/>
      <c r="T2" s="668"/>
      <c r="U2" s="1294" t="s">
        <v>604</v>
      </c>
      <c r="V2" s="1294"/>
      <c r="W2" s="1293" t="s">
        <v>290</v>
      </c>
      <c r="X2" s="1293"/>
      <c r="Y2" s="1293"/>
    </row>
    <row r="3" spans="1:24" ht="24.75" customHeight="1" thickBot="1">
      <c r="A3" s="1295" t="s">
        <v>663</v>
      </c>
      <c r="B3" s="1296"/>
      <c r="C3" s="1296"/>
      <c r="D3" s="1296"/>
      <c r="E3" s="1296"/>
      <c r="F3" s="1296"/>
      <c r="G3" s="1296"/>
      <c r="H3" s="1296"/>
      <c r="I3" s="1297"/>
      <c r="J3" s="194"/>
      <c r="K3" s="194"/>
      <c r="M3" s="1295" t="s">
        <v>498</v>
      </c>
      <c r="N3" s="1296"/>
      <c r="O3" s="1296"/>
      <c r="P3" s="1296"/>
      <c r="Q3" s="1297"/>
      <c r="R3" s="198"/>
      <c r="S3" s="198"/>
      <c r="U3" s="1295" t="s">
        <v>499</v>
      </c>
      <c r="V3" s="1296"/>
      <c r="W3" s="1296"/>
      <c r="X3" s="1297"/>
    </row>
    <row r="4" spans="1:24" ht="49.5" customHeight="1" thickBot="1">
      <c r="A4" s="1275" t="s">
        <v>772</v>
      </c>
      <c r="B4" s="1275"/>
      <c r="C4" s="1275"/>
      <c r="D4" s="1275"/>
      <c r="E4" s="1275"/>
      <c r="F4" s="1275"/>
      <c r="G4" s="1275"/>
      <c r="H4" s="1275"/>
      <c r="I4" s="1275"/>
      <c r="J4" s="528"/>
      <c r="K4" s="528"/>
      <c r="M4" s="1275" t="s">
        <v>640</v>
      </c>
      <c r="N4" s="1275"/>
      <c r="O4" s="1275"/>
      <c r="P4" s="1275"/>
      <c r="Q4" s="1275"/>
      <c r="R4" s="195"/>
      <c r="S4" s="195"/>
      <c r="U4" s="1275" t="s">
        <v>792</v>
      </c>
      <c r="V4" s="1275"/>
      <c r="W4" s="1275"/>
      <c r="X4" s="1275"/>
    </row>
    <row r="5" spans="1:24" ht="12.75" customHeight="1" thickBot="1">
      <c r="A5" s="1276"/>
      <c r="B5" s="1276"/>
      <c r="C5" s="1276"/>
      <c r="D5" s="1276"/>
      <c r="E5" s="1276"/>
      <c r="F5" s="1276"/>
      <c r="G5" s="1276"/>
      <c r="H5" s="1276"/>
      <c r="I5" s="1276"/>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277"/>
      <c r="B6" s="1277"/>
      <c r="C6" s="1277"/>
      <c r="D6" s="1277"/>
      <c r="E6" s="1277"/>
      <c r="F6" s="1277"/>
      <c r="G6" s="1277"/>
      <c r="H6" s="1277"/>
      <c r="I6" s="1277"/>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278" t="s">
        <v>465</v>
      </c>
      <c r="AC6" s="1279"/>
      <c r="AD6" s="1279"/>
      <c r="AE6" s="1279"/>
      <c r="AF6" s="1279"/>
      <c r="AG6" s="1279"/>
      <c r="AH6" s="1279"/>
      <c r="AI6" s="1280"/>
      <c r="AK6" s="1281" t="s">
        <v>246</v>
      </c>
      <c r="AL6" s="1282"/>
      <c r="AM6" s="1282"/>
      <c r="AN6" s="1282"/>
      <c r="AO6" s="1282"/>
      <c r="AP6" s="1282"/>
      <c r="AQ6" s="1283"/>
    </row>
    <row r="7" spans="1:43" ht="27.75" customHeight="1" thickBot="1">
      <c r="A7" s="1287" t="s">
        <v>4</v>
      </c>
      <c r="B7" s="1288"/>
      <c r="C7" s="1288"/>
      <c r="D7" s="1288"/>
      <c r="E7" s="1288"/>
      <c r="F7" s="1288"/>
      <c r="G7" s="1288"/>
      <c r="H7" s="1288"/>
      <c r="I7" s="1289"/>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235" t="s">
        <v>483</v>
      </c>
      <c r="AC7" s="1236"/>
      <c r="AD7" s="1236"/>
      <c r="AE7" s="1236"/>
      <c r="AF7" s="1236"/>
      <c r="AG7" s="1236"/>
      <c r="AH7" s="1236"/>
      <c r="AI7" s="1237"/>
      <c r="AK7" s="1284"/>
      <c r="AL7" s="1285"/>
      <c r="AM7" s="1285"/>
      <c r="AN7" s="1285"/>
      <c r="AO7" s="1285"/>
      <c r="AP7" s="1285"/>
      <c r="AQ7" s="1286"/>
    </row>
    <row r="8" spans="1:43" ht="47.25" customHeight="1">
      <c r="A8" s="184" t="s">
        <v>120</v>
      </c>
      <c r="B8" s="188"/>
      <c r="C8" s="188"/>
      <c r="D8" s="188"/>
      <c r="E8" s="678">
        <f>IF(ISERROR(AVERAGE('All Meals'!J12:J62)),0,AVERAGE('All Meals'!J12:J62))</f>
        <v>0.5</v>
      </c>
      <c r="F8" s="183" t="s">
        <v>121</v>
      </c>
      <c r="G8" s="523"/>
      <c r="H8" s="523"/>
      <c r="I8" s="663">
        <f>'Weekly Report'!G5</f>
        <v>2.5</v>
      </c>
      <c r="J8" s="528"/>
      <c r="K8" s="528"/>
      <c r="M8" s="669" t="str">
        <f>IF('All Meals'!C13="","",'All Meals'!C13)</f>
        <v>Grilled Chicken Sandwich</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217" t="s">
        <v>463</v>
      </c>
      <c r="AC8" s="1218"/>
      <c r="AD8" s="1218"/>
      <c r="AE8" s="1218"/>
      <c r="AF8" s="597">
        <v>1</v>
      </c>
      <c r="AG8" s="597">
        <f>INDEX(cups1,AF8)</f>
        <v>0</v>
      </c>
      <c r="AH8" s="1265"/>
      <c r="AI8" s="1266"/>
      <c r="AK8" s="890" t="s">
        <v>236</v>
      </c>
      <c r="AL8" s="891"/>
      <c r="AM8" s="891"/>
      <c r="AN8" s="597">
        <v>1</v>
      </c>
      <c r="AO8" s="597">
        <f>INDEX(Cups,AN8)</f>
        <v>0</v>
      </c>
      <c r="AP8" s="1267"/>
      <c r="AQ8" s="1268"/>
    </row>
    <row r="9" spans="1:43" ht="47.25" customHeight="1">
      <c r="A9" s="1269" t="s">
        <v>607</v>
      </c>
      <c r="B9" s="1270"/>
      <c r="C9" s="1270"/>
      <c r="D9" s="1270"/>
      <c r="E9" s="1271"/>
      <c r="F9" s="1272" t="s">
        <v>608</v>
      </c>
      <c r="G9" s="1273"/>
      <c r="H9" s="1273"/>
      <c r="I9" s="1274"/>
      <c r="J9" s="528"/>
      <c r="K9" s="528"/>
      <c r="M9" s="669" t="str">
        <f>IF('All Meals'!C14="","",'All Meals'!C14)</f>
        <v>Hatton Chicken Crunch with Brown Rice</v>
      </c>
      <c r="N9" s="670"/>
      <c r="O9" s="671"/>
      <c r="P9" s="671"/>
      <c r="Q9" s="671"/>
      <c r="R9" s="672">
        <f t="shared" si="0"/>
        <v>0</v>
      </c>
      <c r="S9" s="672">
        <f t="shared" si="1"/>
        <v>0</v>
      </c>
      <c r="T9" s="673"/>
      <c r="U9" s="671"/>
      <c r="V9" s="671"/>
      <c r="W9" s="671"/>
      <c r="X9" s="671"/>
      <c r="Y9" s="529">
        <f t="shared" si="2"/>
        <v>0</v>
      </c>
      <c r="Z9" s="529">
        <f t="shared" si="3"/>
        <v>0</v>
      </c>
      <c r="AB9" s="1217" t="s">
        <v>464</v>
      </c>
      <c r="AC9" s="1218"/>
      <c r="AD9" s="1218"/>
      <c r="AE9" s="1218"/>
      <c r="AF9" s="597">
        <v>1</v>
      </c>
      <c r="AG9" s="597">
        <f>INDEX(cups1,AF9)</f>
        <v>0</v>
      </c>
      <c r="AH9" s="1265"/>
      <c r="AI9" s="1266"/>
      <c r="AK9" s="890"/>
      <c r="AL9" s="891"/>
      <c r="AM9" s="891"/>
      <c r="AN9" s="597">
        <v>1</v>
      </c>
      <c r="AO9" s="597">
        <f>INDEX(Cups,AN9)</f>
        <v>0</v>
      </c>
      <c r="AP9" s="1257"/>
      <c r="AQ9" s="12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Rotini and Meat Sauce</v>
      </c>
      <c r="N10" s="670"/>
      <c r="O10" s="675"/>
      <c r="P10" s="675"/>
      <c r="Q10" s="675"/>
      <c r="R10" s="672">
        <f t="shared" si="0"/>
        <v>0</v>
      </c>
      <c r="S10" s="672">
        <f t="shared" si="1"/>
        <v>0</v>
      </c>
      <c r="T10" s="673"/>
      <c r="U10" s="671"/>
      <c r="V10" s="675"/>
      <c r="W10" s="675"/>
      <c r="X10" s="675"/>
      <c r="Y10" s="529">
        <f t="shared" si="2"/>
        <v>0</v>
      </c>
      <c r="Z10" s="529">
        <f t="shared" si="3"/>
        <v>0</v>
      </c>
      <c r="AB10" s="1217" t="s">
        <v>471</v>
      </c>
      <c r="AC10" s="1218"/>
      <c r="AD10" s="1218"/>
      <c r="AE10" s="1218"/>
      <c r="AF10" s="414"/>
      <c r="AG10" s="414"/>
      <c r="AH10" s="1255"/>
      <c r="AI10" s="1256"/>
      <c r="AK10" s="890"/>
      <c r="AL10" s="891"/>
      <c r="AM10" s="891"/>
      <c r="AN10" s="597">
        <v>1</v>
      </c>
      <c r="AO10" s="597">
        <f>INDEX(Cups,AN10)</f>
        <v>0</v>
      </c>
      <c r="AP10" s="1257"/>
      <c r="AQ10" s="12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Beef &amp; ReFried Bean Burrito</v>
      </c>
      <c r="N11" s="670"/>
      <c r="O11" s="675"/>
      <c r="P11" s="675"/>
      <c r="Q11" s="675"/>
      <c r="R11" s="672">
        <f t="shared" si="0"/>
        <v>0</v>
      </c>
      <c r="S11" s="672">
        <f t="shared" si="1"/>
        <v>0</v>
      </c>
      <c r="T11" s="673"/>
      <c r="U11" s="671"/>
      <c r="V11" s="675"/>
      <c r="W11" s="675"/>
      <c r="X11" s="675"/>
      <c r="Y11" s="529">
        <f t="shared" si="2"/>
        <v>0</v>
      </c>
      <c r="Z11" s="529">
        <f t="shared" si="3"/>
        <v>0</v>
      </c>
      <c r="AB11" s="1217"/>
      <c r="AC11" s="1218"/>
      <c r="AD11" s="1218"/>
      <c r="AE11" s="1218"/>
      <c r="AF11" s="414"/>
      <c r="AG11" s="414"/>
      <c r="AH11" s="1255"/>
      <c r="AI11" s="1256"/>
      <c r="AK11" s="890"/>
      <c r="AL11" s="891"/>
      <c r="AM11" s="891"/>
      <c r="AN11" s="597">
        <v>1</v>
      </c>
      <c r="AO11" s="597">
        <f>INDEX(Cups,AN11)</f>
        <v>0</v>
      </c>
      <c r="AP11" s="1257"/>
      <c r="AQ11" s="12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Grilled Cheese Sandwich</v>
      </c>
      <c r="N12" s="670"/>
      <c r="O12" s="675"/>
      <c r="P12" s="675"/>
      <c r="Q12" s="675"/>
      <c r="R12" s="672">
        <f t="shared" si="0"/>
        <v>0</v>
      </c>
      <c r="S12" s="672">
        <f t="shared" si="1"/>
        <v>0</v>
      </c>
      <c r="T12" s="673"/>
      <c r="U12" s="671"/>
      <c r="V12" s="675"/>
      <c r="W12" s="675"/>
      <c r="X12" s="675"/>
      <c r="Y12" s="529">
        <f t="shared" si="2"/>
        <v>0</v>
      </c>
      <c r="Z12" s="529">
        <f t="shared" si="3"/>
        <v>0</v>
      </c>
      <c r="AB12" s="1217" t="s">
        <v>482</v>
      </c>
      <c r="AC12" s="1218"/>
      <c r="AD12" s="1218"/>
      <c r="AE12" s="1218"/>
      <c r="AF12" s="318"/>
      <c r="AG12" s="318"/>
      <c r="AH12" s="1259">
        <f>ROUND(IF(ISERROR((AH10*AG8)/AG9),0,(AH10*AG8)/AG9),2)</f>
        <v>0</v>
      </c>
      <c r="AI12" s="1260"/>
      <c r="AK12" s="890"/>
      <c r="AL12" s="891"/>
      <c r="AM12" s="891"/>
      <c r="AN12" s="597">
        <v>1</v>
      </c>
      <c r="AO12" s="597">
        <f>INDEX(Cups,AN12)</f>
        <v>0</v>
      </c>
      <c r="AP12" s="1261"/>
      <c r="AQ12" s="1262"/>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217"/>
      <c r="AC13" s="1218"/>
      <c r="AD13" s="1218"/>
      <c r="AE13" s="1218"/>
      <c r="AF13" s="597"/>
      <c r="AG13" s="597"/>
      <c r="AH13" s="1259"/>
      <c r="AI13" s="1260"/>
      <c r="AK13" s="892"/>
      <c r="AL13" s="893"/>
      <c r="AM13" s="893"/>
      <c r="AN13" s="253"/>
      <c r="AO13" s="253"/>
      <c r="AP13" s="1263">
        <f>SUM(AO8:AO12)</f>
        <v>0</v>
      </c>
      <c r="AQ13" s="1264"/>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235" t="s">
        <v>484</v>
      </c>
      <c r="AC14" s="1236"/>
      <c r="AD14" s="1236"/>
      <c r="AE14" s="1236"/>
      <c r="AF14" s="1236"/>
      <c r="AG14" s="1236"/>
      <c r="AH14" s="1236"/>
      <c r="AI14" s="1237"/>
      <c r="AK14" s="1238" t="s">
        <v>445</v>
      </c>
      <c r="AL14" s="1239"/>
      <c r="AM14" s="1239"/>
      <c r="AN14" s="1239"/>
      <c r="AO14" s="1239"/>
      <c r="AP14" s="1239"/>
      <c r="AQ14" s="1240"/>
    </row>
    <row r="15" spans="1:43" ht="47.25" customHeight="1" thickBot="1">
      <c r="A15" s="1244" t="s">
        <v>10</v>
      </c>
      <c r="B15" s="1245"/>
      <c r="C15" s="1245"/>
      <c r="D15" s="1245"/>
      <c r="E15" s="1245"/>
      <c r="F15" s="1245"/>
      <c r="G15" s="1245"/>
      <c r="H15" s="1245"/>
      <c r="I15" s="1246"/>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217" t="s">
        <v>485</v>
      </c>
      <c r="AC15" s="1218"/>
      <c r="AD15" s="1218"/>
      <c r="AE15" s="1218"/>
      <c r="AF15" s="25"/>
      <c r="AG15" s="25"/>
      <c r="AH15" s="1247"/>
      <c r="AI15" s="1248"/>
      <c r="AK15" s="1241"/>
      <c r="AL15" s="1242"/>
      <c r="AM15" s="1242"/>
      <c r="AN15" s="1242"/>
      <c r="AO15" s="1242"/>
      <c r="AP15" s="1242"/>
      <c r="AQ15" s="1243"/>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217" t="s">
        <v>486</v>
      </c>
      <c r="AC16" s="1218"/>
      <c r="AD16" s="1218"/>
      <c r="AE16" s="1218"/>
      <c r="AF16" s="25"/>
      <c r="AG16" s="25"/>
      <c r="AH16" s="1247"/>
      <c r="AI16" s="1248"/>
      <c r="AK16" s="1249" t="s">
        <v>237</v>
      </c>
      <c r="AL16" s="1250"/>
      <c r="AM16" s="1251"/>
      <c r="AN16" s="193"/>
      <c r="AO16" s="193"/>
      <c r="AP16" s="919"/>
      <c r="AQ16" s="920"/>
    </row>
    <row r="17" spans="1:43" ht="47.25" customHeight="1">
      <c r="A17" s="1252" t="s">
        <v>123</v>
      </c>
      <c r="B17" s="1253"/>
      <c r="C17" s="1253"/>
      <c r="D17" s="1253"/>
      <c r="E17" s="1253"/>
      <c r="F17" s="1253"/>
      <c r="G17" s="1253"/>
      <c r="H17" s="1253"/>
      <c r="I17" s="1254"/>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215" t="s">
        <v>470</v>
      </c>
      <c r="AC17" s="1216"/>
      <c r="AD17" s="1216"/>
      <c r="AE17" s="1216"/>
      <c r="AF17" s="254"/>
      <c r="AG17" s="254"/>
      <c r="AH17" s="1219"/>
      <c r="AI17" s="1220"/>
      <c r="AK17" s="916"/>
      <c r="AL17" s="917"/>
      <c r="AM17" s="918"/>
      <c r="AN17" s="193"/>
      <c r="AO17" s="193"/>
      <c r="AP17" s="921"/>
      <c r="AQ17" s="922"/>
    </row>
    <row r="18" spans="1:43" ht="47.25" customHeight="1" thickBot="1">
      <c r="A18" s="535"/>
      <c r="B18" s="536">
        <v>4</v>
      </c>
      <c r="C18" s="552">
        <v>114.65</v>
      </c>
      <c r="D18" s="552">
        <v>0.3595</v>
      </c>
      <c r="E18" s="1223" t="s">
        <v>505</v>
      </c>
      <c r="F18" s="1223"/>
      <c r="G18" s="1223"/>
      <c r="H18" s="1223"/>
      <c r="I18" s="1224"/>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217"/>
      <c r="AC18" s="1218"/>
      <c r="AD18" s="1218"/>
      <c r="AE18" s="1218"/>
      <c r="AF18" s="255"/>
      <c r="AG18" s="255"/>
      <c r="AH18" s="1221"/>
      <c r="AI18" s="1222"/>
      <c r="AK18" s="794" t="s">
        <v>235</v>
      </c>
      <c r="AL18" s="900"/>
      <c r="AM18" s="901"/>
      <c r="AN18" s="254"/>
      <c r="AO18" s="254"/>
      <c r="AP18" s="1225">
        <f>FLOOR(AP16,0.125)</f>
        <v>0</v>
      </c>
      <c r="AQ18" s="1226"/>
    </row>
    <row r="19" spans="1:43" ht="47.25" customHeight="1" thickBot="1">
      <c r="A19" s="535"/>
      <c r="B19" s="536"/>
      <c r="C19" s="552">
        <v>92.5</v>
      </c>
      <c r="D19" s="552">
        <v>0.841</v>
      </c>
      <c r="E19" s="1223" t="s">
        <v>506</v>
      </c>
      <c r="F19" s="1223"/>
      <c r="G19" s="1223"/>
      <c r="H19" s="1223"/>
      <c r="I19" s="1224"/>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217" t="s">
        <v>487</v>
      </c>
      <c r="AC19" s="1218"/>
      <c r="AD19" s="1218"/>
      <c r="AE19" s="1218"/>
      <c r="AF19" s="254"/>
      <c r="AG19" s="254"/>
      <c r="AH19" s="1231">
        <f>ROUND(IF(ISERROR((AH17*AH15)/AH16),0,(AH17*AH15)/AH16),2)</f>
        <v>0</v>
      </c>
      <c r="AI19" s="1232"/>
      <c r="AK19" s="795"/>
      <c r="AL19" s="902"/>
      <c r="AM19" s="903"/>
      <c r="AN19" s="255"/>
      <c r="AO19" s="255"/>
      <c r="AP19" s="1227"/>
      <c r="AQ19" s="1228"/>
    </row>
    <row r="20" spans="1:35" ht="47.25" customHeight="1" thickBot="1">
      <c r="A20" s="535"/>
      <c r="B20" s="536"/>
      <c r="C20" s="552">
        <v>124.15</v>
      </c>
      <c r="D20" s="552">
        <v>1.0635</v>
      </c>
      <c r="E20" s="1223" t="s">
        <v>507</v>
      </c>
      <c r="F20" s="1223"/>
      <c r="G20" s="1223"/>
      <c r="H20" s="1223"/>
      <c r="I20" s="1224"/>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229"/>
      <c r="AC20" s="1230"/>
      <c r="AD20" s="1230"/>
      <c r="AE20" s="1230"/>
      <c r="AF20" s="255"/>
      <c r="AG20" s="255"/>
      <c r="AH20" s="1233"/>
      <c r="AI20" s="1234"/>
    </row>
    <row r="21" spans="1:26" ht="47.25" customHeight="1" thickBot="1">
      <c r="A21" s="537"/>
      <c r="B21" s="538"/>
      <c r="C21" s="538">
        <v>0</v>
      </c>
      <c r="D21" s="538">
        <v>0</v>
      </c>
      <c r="E21" s="1200" t="s">
        <v>149</v>
      </c>
      <c r="F21" s="1200"/>
      <c r="G21" s="1200"/>
      <c r="H21" s="1200"/>
      <c r="I21" s="1201"/>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177" t="s">
        <v>614</v>
      </c>
      <c r="AC22" s="1177"/>
      <c r="AD22" s="1177"/>
      <c r="AE22" s="1177"/>
      <c r="AF22" s="1177"/>
      <c r="AG22" s="1177"/>
      <c r="AH22" s="1177"/>
      <c r="AI22" s="1177"/>
      <c r="AJ22" s="1177"/>
      <c r="AK22" s="1177"/>
      <c r="AL22" s="1177"/>
      <c r="AM22" s="1177"/>
      <c r="AN22" s="1177"/>
      <c r="AO22" s="1177"/>
      <c r="AP22" s="1177"/>
      <c r="AQ22" s="1177"/>
    </row>
    <row r="23" spans="1:26" ht="47.25" customHeight="1">
      <c r="A23" s="1202" t="s">
        <v>773</v>
      </c>
      <c r="B23" s="1203"/>
      <c r="C23" s="1203"/>
      <c r="D23" s="1203"/>
      <c r="E23" s="1203"/>
      <c r="F23" s="1203"/>
      <c r="G23" s="1203"/>
      <c r="H23" s="1203"/>
      <c r="I23" s="1204"/>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5"/>
      <c r="B24" s="1206"/>
      <c r="C24" s="1206"/>
      <c r="D24" s="1206"/>
      <c r="E24" s="1206"/>
      <c r="F24" s="1206"/>
      <c r="G24" s="1206"/>
      <c r="H24" s="1206"/>
      <c r="I24" s="1207"/>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08" t="s">
        <v>458</v>
      </c>
      <c r="B25" s="1208"/>
      <c r="C25" s="1208"/>
      <c r="D25" s="1208"/>
      <c r="E25" s="1208"/>
      <c r="F25" s="1208"/>
      <c r="G25" s="1208"/>
      <c r="H25" s="1208"/>
      <c r="I25" s="1208"/>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09" t="s">
        <v>774</v>
      </c>
      <c r="B26" s="1210"/>
      <c r="C26" s="1210"/>
      <c r="D26" s="1210"/>
      <c r="E26" s="1210"/>
      <c r="F26" s="1211"/>
      <c r="G26" s="662"/>
      <c r="H26" s="662"/>
      <c r="I26" s="680">
        <f>IF(ISERROR(('Weekly Report'!G13/SUM('Weekly Report'!G13:G17))*'Weekly Report'!G10),0,('Weekly Report'!G13)/SUM('Weekly Report'!G13:G17))*'Weekly Report'!G10</f>
        <v>1.15625</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2" t="s">
        <v>602</v>
      </c>
      <c r="AD26" s="1213"/>
      <c r="AE26" s="1213"/>
      <c r="AF26" s="1213"/>
      <c r="AG26" s="1213"/>
      <c r="AH26" s="1213"/>
      <c r="AI26" s="1213"/>
      <c r="AJ26" s="1213"/>
      <c r="AK26" s="1213"/>
      <c r="AL26" s="1213"/>
      <c r="AM26" s="1214"/>
      <c r="AN26" s="518"/>
      <c r="AO26" s="518"/>
      <c r="AP26" s="194"/>
      <c r="AQ26" s="194"/>
    </row>
    <row r="27" spans="1:39" ht="47.25" customHeight="1">
      <c r="A27" s="1198" t="s">
        <v>732</v>
      </c>
      <c r="B27" s="1198"/>
      <c r="C27" s="1198"/>
      <c r="D27" s="1198"/>
      <c r="E27" s="1198"/>
      <c r="F27" s="1198"/>
      <c r="G27" s="1198"/>
      <c r="H27" s="1198"/>
      <c r="I27" s="119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199" t="s">
        <v>588</v>
      </c>
      <c r="AD27" s="1199"/>
      <c r="AE27" s="1199"/>
      <c r="AF27" s="1199"/>
      <c r="AG27" s="1199"/>
      <c r="AH27" s="1199"/>
      <c r="AI27" s="1199" t="s">
        <v>589</v>
      </c>
      <c r="AJ27" s="1199"/>
      <c r="AK27" s="1199"/>
      <c r="AL27" s="1199" t="s">
        <v>590</v>
      </c>
      <c r="AM27" s="1199"/>
    </row>
    <row r="28" spans="1:39" ht="47.25" customHeight="1">
      <c r="A28" s="553"/>
      <c r="B28" s="554">
        <v>4</v>
      </c>
      <c r="C28" s="555">
        <v>40.6</v>
      </c>
      <c r="D28" s="555">
        <v>0.3091666666666667</v>
      </c>
      <c r="E28" s="1195" t="s">
        <v>511</v>
      </c>
      <c r="F28" s="1195"/>
      <c r="G28" s="1195"/>
      <c r="H28" s="1195"/>
      <c r="I28" s="1196"/>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176" t="s">
        <v>603</v>
      </c>
      <c r="AD28" s="1176"/>
      <c r="AE28" s="1176"/>
      <c r="AF28" s="1176"/>
      <c r="AG28" s="1176"/>
      <c r="AH28" s="1176"/>
      <c r="AI28" s="1176">
        <v>68</v>
      </c>
      <c r="AJ28" s="1176"/>
      <c r="AK28" s="1176"/>
      <c r="AL28" s="1176">
        <v>4.87</v>
      </c>
      <c r="AM28" s="1176"/>
    </row>
    <row r="29" spans="1:39" ht="47.25" customHeight="1">
      <c r="A29" s="556"/>
      <c r="B29" s="557"/>
      <c r="C29" s="555">
        <v>63</v>
      </c>
      <c r="D29" s="555">
        <v>1.0266666666666668</v>
      </c>
      <c r="E29" s="1195" t="s">
        <v>512</v>
      </c>
      <c r="F29" s="1195"/>
      <c r="G29" s="1195"/>
      <c r="H29" s="1195"/>
      <c r="I29" s="1196"/>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197" t="s">
        <v>775</v>
      </c>
      <c r="AD29" s="1176">
        <v>68</v>
      </c>
      <c r="AE29" s="1176">
        <v>1.58</v>
      </c>
      <c r="AF29" s="1176" t="s">
        <v>591</v>
      </c>
      <c r="AG29" s="1176">
        <v>68</v>
      </c>
      <c r="AH29" s="1176">
        <v>1.58</v>
      </c>
      <c r="AI29" s="1176">
        <v>68</v>
      </c>
      <c r="AJ29" s="1176">
        <v>1.58</v>
      </c>
      <c r="AK29" s="1176" t="s">
        <v>591</v>
      </c>
      <c r="AL29" s="1176">
        <v>1.58</v>
      </c>
      <c r="AM29" s="1176"/>
    </row>
    <row r="30" spans="1:39" ht="47.25" customHeight="1">
      <c r="A30" s="556"/>
      <c r="B30" s="557"/>
      <c r="C30" s="555">
        <v>85.4</v>
      </c>
      <c r="D30" s="555">
        <v>1.7441666666666669</v>
      </c>
      <c r="E30" s="1195" t="s">
        <v>513</v>
      </c>
      <c r="F30" s="1195"/>
      <c r="G30" s="1195"/>
      <c r="H30" s="1195"/>
      <c r="I30" s="1196"/>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176" t="s">
        <v>592</v>
      </c>
      <c r="AD30" s="1176">
        <v>52</v>
      </c>
      <c r="AE30" s="1176">
        <v>3.46</v>
      </c>
      <c r="AF30" s="1176" t="s">
        <v>592</v>
      </c>
      <c r="AG30" s="1176">
        <v>52</v>
      </c>
      <c r="AH30" s="1176">
        <v>3.46</v>
      </c>
      <c r="AI30" s="1176">
        <v>52</v>
      </c>
      <c r="AJ30" s="1176">
        <v>3.46</v>
      </c>
      <c r="AK30" s="1176" t="s">
        <v>592</v>
      </c>
      <c r="AL30" s="1176">
        <v>3.46</v>
      </c>
      <c r="AM30" s="1176"/>
    </row>
    <row r="31" spans="1:39" ht="47.25" customHeight="1">
      <c r="A31" s="558"/>
      <c r="B31" s="559"/>
      <c r="C31" s="559">
        <v>0</v>
      </c>
      <c r="D31" s="559">
        <v>0</v>
      </c>
      <c r="E31" s="1192" t="s">
        <v>150</v>
      </c>
      <c r="F31" s="1192"/>
      <c r="G31" s="1192"/>
      <c r="H31" s="1192"/>
      <c r="I31" s="1193"/>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176" t="s">
        <v>593</v>
      </c>
      <c r="AD31" s="1176">
        <v>73</v>
      </c>
      <c r="AE31" s="1176">
        <v>1.2</v>
      </c>
      <c r="AF31" s="1176" t="s">
        <v>593</v>
      </c>
      <c r="AG31" s="1176">
        <v>73</v>
      </c>
      <c r="AH31" s="1176">
        <v>1.2</v>
      </c>
      <c r="AI31" s="1176">
        <v>73</v>
      </c>
      <c r="AJ31" s="1176">
        <v>1.2</v>
      </c>
      <c r="AK31" s="1176" t="s">
        <v>593</v>
      </c>
      <c r="AL31" s="1194">
        <v>1.2</v>
      </c>
      <c r="AM31" s="1194"/>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176" t="s">
        <v>594</v>
      </c>
      <c r="AD32" s="1176">
        <v>29</v>
      </c>
      <c r="AE32" s="1176">
        <v>0.19</v>
      </c>
      <c r="AF32" s="1176" t="s">
        <v>594</v>
      </c>
      <c r="AG32" s="1176">
        <v>29</v>
      </c>
      <c r="AH32" s="1176">
        <v>0.19</v>
      </c>
      <c r="AI32" s="1176">
        <v>29</v>
      </c>
      <c r="AJ32" s="1176">
        <v>0.19</v>
      </c>
      <c r="AK32" s="1176" t="s">
        <v>594</v>
      </c>
      <c r="AL32" s="1176">
        <v>0.19</v>
      </c>
      <c r="AM32" s="1176"/>
    </row>
    <row r="33" spans="1:39" ht="47.25" customHeight="1">
      <c r="A33" s="1188" t="s">
        <v>459</v>
      </c>
      <c r="B33" s="1188"/>
      <c r="C33" s="1188"/>
      <c r="D33" s="1188"/>
      <c r="E33" s="1188"/>
      <c r="F33" s="1188"/>
      <c r="G33" s="1188"/>
      <c r="H33" s="1188"/>
      <c r="I33" s="1188"/>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176" t="s">
        <v>595</v>
      </c>
      <c r="AD33" s="1176">
        <v>43</v>
      </c>
      <c r="AE33" s="1176">
        <v>0.66</v>
      </c>
      <c r="AF33" s="1176" t="s">
        <v>595</v>
      </c>
      <c r="AG33" s="1176">
        <v>43</v>
      </c>
      <c r="AH33" s="1176">
        <v>0.66</v>
      </c>
      <c r="AI33" s="1176">
        <v>43</v>
      </c>
      <c r="AJ33" s="1176">
        <v>0.66</v>
      </c>
      <c r="AK33" s="1176" t="s">
        <v>595</v>
      </c>
      <c r="AL33" s="1176">
        <v>0.66</v>
      </c>
      <c r="AM33" s="1176"/>
    </row>
    <row r="34" spans="1:39" ht="47.25" customHeight="1">
      <c r="A34" s="1189" t="s">
        <v>776</v>
      </c>
      <c r="B34" s="1190"/>
      <c r="C34" s="1190"/>
      <c r="D34" s="1190"/>
      <c r="E34" s="1190"/>
      <c r="F34" s="1191"/>
      <c r="G34" s="660"/>
      <c r="H34" s="660"/>
      <c r="I34" s="681">
        <f>IF(ISERROR(('Weekly Report'!G14)/SUM('Weekly Report'!G13:G17)*'Weekly Report'!G10),0,(('Weekly Report'!G14)/SUM('Weekly Report'!G13:G17)*'Weekly Report'!G10))</f>
        <v>1.2847222222222223</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176" t="s">
        <v>596</v>
      </c>
      <c r="AD34" s="1176">
        <v>11</v>
      </c>
      <c r="AE34" s="1176">
        <v>0.07</v>
      </c>
      <c r="AF34" s="1176" t="s">
        <v>596</v>
      </c>
      <c r="AG34" s="1176">
        <v>11</v>
      </c>
      <c r="AH34" s="1176">
        <v>0.07</v>
      </c>
      <c r="AI34" s="1176">
        <v>11</v>
      </c>
      <c r="AJ34" s="1176">
        <v>0.07</v>
      </c>
      <c r="AK34" s="1176" t="s">
        <v>596</v>
      </c>
      <c r="AL34" s="1176">
        <v>0.07</v>
      </c>
      <c r="AM34" s="1176"/>
    </row>
    <row r="35" spans="1:39" ht="47.25" customHeight="1">
      <c r="A35" s="1182" t="s">
        <v>610</v>
      </c>
      <c r="B35" s="1183"/>
      <c r="C35" s="1183"/>
      <c r="D35" s="1183"/>
      <c r="E35" s="1184"/>
      <c r="F35" s="1185" t="s">
        <v>611</v>
      </c>
      <c r="G35" s="1186"/>
      <c r="H35" s="1186"/>
      <c r="I35" s="1187"/>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176" t="s">
        <v>597</v>
      </c>
      <c r="AD35" s="1176">
        <v>57</v>
      </c>
      <c r="AE35" s="1176">
        <v>0.72</v>
      </c>
      <c r="AF35" s="1176" t="s">
        <v>597</v>
      </c>
      <c r="AG35" s="1176">
        <v>57</v>
      </c>
      <c r="AH35" s="1176">
        <v>0.72</v>
      </c>
      <c r="AI35" s="1176">
        <v>57</v>
      </c>
      <c r="AJ35" s="1176">
        <v>0.72</v>
      </c>
      <c r="AK35" s="1176" t="s">
        <v>597</v>
      </c>
      <c r="AL35" s="1176">
        <v>0.72</v>
      </c>
      <c r="AM35" s="1176"/>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176" t="s">
        <v>598</v>
      </c>
      <c r="AD36" s="1176">
        <v>9</v>
      </c>
      <c r="AE36" s="1176">
        <v>0</v>
      </c>
      <c r="AF36" s="1176" t="s">
        <v>598</v>
      </c>
      <c r="AG36" s="1176">
        <v>9</v>
      </c>
      <c r="AH36" s="1176">
        <v>0</v>
      </c>
      <c r="AI36" s="1176">
        <v>9</v>
      </c>
      <c r="AJ36" s="1176">
        <v>0</v>
      </c>
      <c r="AK36" s="1176" t="s">
        <v>598</v>
      </c>
      <c r="AL36" s="1176">
        <v>0</v>
      </c>
      <c r="AM36" s="1176"/>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176" t="s">
        <v>599</v>
      </c>
      <c r="AD37" s="1176">
        <v>38</v>
      </c>
      <c r="AE37" s="1176">
        <v>0</v>
      </c>
      <c r="AF37" s="1176" t="s">
        <v>599</v>
      </c>
      <c r="AG37" s="1176">
        <v>38</v>
      </c>
      <c r="AH37" s="1176">
        <v>0</v>
      </c>
      <c r="AI37" s="1176">
        <v>38</v>
      </c>
      <c r="AJ37" s="1176">
        <v>0</v>
      </c>
      <c r="AK37" s="1176" t="s">
        <v>599</v>
      </c>
      <c r="AL37" s="1176">
        <v>0</v>
      </c>
      <c r="AM37" s="1176"/>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176" t="s">
        <v>600</v>
      </c>
      <c r="AD38" s="1176">
        <v>106</v>
      </c>
      <c r="AE38" s="1176">
        <v>0.01</v>
      </c>
      <c r="AF38" s="1176" t="s">
        <v>600</v>
      </c>
      <c r="AG38" s="1176">
        <v>106</v>
      </c>
      <c r="AH38" s="1176">
        <v>0.01</v>
      </c>
      <c r="AI38" s="1176">
        <v>106</v>
      </c>
      <c r="AJ38" s="1176">
        <v>0.01</v>
      </c>
      <c r="AK38" s="1176" t="s">
        <v>600</v>
      </c>
      <c r="AL38" s="1176">
        <v>0.01</v>
      </c>
      <c r="AM38" s="1176"/>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176" t="s">
        <v>601</v>
      </c>
      <c r="AD39" s="1176">
        <v>3</v>
      </c>
      <c r="AE39" s="1176">
        <v>0.01</v>
      </c>
      <c r="AF39" s="1176" t="s">
        <v>601</v>
      </c>
      <c r="AG39" s="1176">
        <v>3</v>
      </c>
      <c r="AH39" s="1176">
        <v>0.01</v>
      </c>
      <c r="AI39" s="1176">
        <v>3</v>
      </c>
      <c r="AJ39" s="1176">
        <v>0.01</v>
      </c>
      <c r="AK39" s="1176" t="s">
        <v>601</v>
      </c>
      <c r="AL39" s="1176">
        <v>0.01</v>
      </c>
      <c r="AM39" s="1176"/>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177" t="s">
        <v>614</v>
      </c>
      <c r="AD40" s="1177"/>
      <c r="AE40" s="1177"/>
      <c r="AF40" s="1177"/>
      <c r="AG40" s="1177"/>
      <c r="AH40" s="1177"/>
      <c r="AI40" s="1177"/>
      <c r="AJ40" s="1177"/>
      <c r="AK40" s="1177"/>
      <c r="AL40" s="1177"/>
      <c r="AM40" s="1177"/>
      <c r="AN40" s="1177"/>
    </row>
    <row r="41" spans="1:35" ht="47.25" customHeight="1">
      <c r="A41" s="1178" t="s">
        <v>460</v>
      </c>
      <c r="B41" s="1178"/>
      <c r="C41" s="1178"/>
      <c r="D41" s="1178"/>
      <c r="E41" s="1178"/>
      <c r="F41" s="1178"/>
      <c r="G41" s="1178"/>
      <c r="H41" s="1178"/>
      <c r="I41" s="1178"/>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179" t="s">
        <v>777</v>
      </c>
      <c r="B42" s="1180"/>
      <c r="C42" s="1180"/>
      <c r="D42" s="1180"/>
      <c r="E42" s="1180"/>
      <c r="F42" s="1181"/>
      <c r="G42" s="661"/>
      <c r="H42" s="661"/>
      <c r="I42" s="684">
        <f>IF(ISERROR(('Weekly Report'!G15)/SUM('Weekly Report'!G13:G17)*'Weekly Report'!G10),0,'Weekly Report'!G15/SUM('Weekly Report'!G13:G17)*'Weekly Report'!G10)</f>
        <v>0.6423611111111112</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168" t="s">
        <v>733</v>
      </c>
      <c r="B43" s="1169"/>
      <c r="C43" s="1169"/>
      <c r="D43" s="1169"/>
      <c r="E43" s="1169"/>
      <c r="F43" s="1169"/>
      <c r="G43" s="1169"/>
      <c r="H43" s="1169"/>
      <c r="I43" s="1170"/>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171" t="s">
        <v>517</v>
      </c>
      <c r="F44" s="1171"/>
      <c r="G44" s="1171"/>
      <c r="H44" s="1171"/>
      <c r="I44" s="1172"/>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171" t="s">
        <v>518</v>
      </c>
      <c r="F45" s="1171"/>
      <c r="G45" s="1171"/>
      <c r="H45" s="1171"/>
      <c r="I45" s="1172"/>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171" t="s">
        <v>519</v>
      </c>
      <c r="F46" s="1171"/>
      <c r="G46" s="1171"/>
      <c r="H46" s="1171"/>
      <c r="I46" s="1172"/>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173" t="s">
        <v>152</v>
      </c>
      <c r="F47" s="1173"/>
      <c r="G47" s="1173"/>
      <c r="H47" s="1173"/>
      <c r="I47" s="1174"/>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175" t="s">
        <v>461</v>
      </c>
      <c r="B49" s="1175"/>
      <c r="C49" s="1175"/>
      <c r="D49" s="1175"/>
      <c r="E49" s="1175"/>
      <c r="F49" s="1175"/>
      <c r="G49" s="1175"/>
      <c r="H49" s="1175"/>
      <c r="I49" s="1175"/>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158" t="s">
        <v>778</v>
      </c>
      <c r="B50" s="1159"/>
      <c r="C50" s="1159"/>
      <c r="D50" s="1159"/>
      <c r="E50" s="1159"/>
      <c r="F50" s="1160"/>
      <c r="G50" s="658"/>
      <c r="H50" s="658"/>
      <c r="I50" s="682">
        <f>IF(ISERROR(('Weekly Report'!G16)/SUM('Weekly Report'!G13:G17)*'Weekly Report'!G10),0,('Weekly Report'!G16)/SUM('Weekly Report'!G13:G17)*'Weekly Report'!G10)</f>
        <v>1.0277777777777777</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161" t="s">
        <v>734</v>
      </c>
      <c r="B51" s="1162"/>
      <c r="C51" s="1162"/>
      <c r="D51" s="1162"/>
      <c r="E51" s="1162"/>
      <c r="F51" s="1162"/>
      <c r="G51" s="1162"/>
      <c r="H51" s="1162"/>
      <c r="I51" s="1163"/>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164" t="s">
        <v>520</v>
      </c>
      <c r="F52" s="1164"/>
      <c r="G52" s="1164"/>
      <c r="H52" s="1164"/>
      <c r="I52" s="1165"/>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164" t="s">
        <v>521</v>
      </c>
      <c r="F53" s="1164"/>
      <c r="G53" s="1164"/>
      <c r="H53" s="1164"/>
      <c r="I53" s="1165"/>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164" t="s">
        <v>522</v>
      </c>
      <c r="F54" s="1164"/>
      <c r="G54" s="1164"/>
      <c r="H54" s="1164"/>
      <c r="I54" s="1165"/>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166" t="s">
        <v>153</v>
      </c>
      <c r="F55" s="1166"/>
      <c r="G55" s="1166"/>
      <c r="H55" s="1166"/>
      <c r="I55" s="1167"/>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136" t="s">
        <v>462</v>
      </c>
      <c r="B57" s="1136"/>
      <c r="C57" s="1136"/>
      <c r="D57" s="1136"/>
      <c r="E57" s="1136"/>
      <c r="F57" s="1136"/>
      <c r="G57" s="1136"/>
      <c r="H57" s="1136"/>
      <c r="I57" s="1136"/>
      <c r="M57" s="2"/>
      <c r="N57" s="2"/>
    </row>
    <row r="58" spans="1:21" ht="47.25" customHeight="1">
      <c r="A58" s="1137" t="s">
        <v>779</v>
      </c>
      <c r="B58" s="1138"/>
      <c r="C58" s="1138"/>
      <c r="D58" s="1138"/>
      <c r="E58" s="1138"/>
      <c r="F58" s="1139"/>
      <c r="G58" s="659"/>
      <c r="H58" s="659"/>
      <c r="I58" s="683">
        <f>IF(ISERROR(('Weekly Report'!G17)/SUM('Weekly Report'!G13:G17)*'Weekly Report'!G10),0,('Weekly Report'!G17)/SUM('Weekly Report'!G13:G17)*'Weekly Report'!G10)</f>
        <v>0.5138888888888888</v>
      </c>
      <c r="M58" s="2"/>
      <c r="N58" s="2"/>
      <c r="O58" s="1140" t="s">
        <v>140</v>
      </c>
      <c r="P58" s="1141"/>
      <c r="Q58" s="1141"/>
      <c r="R58" s="1141"/>
      <c r="S58" s="1141"/>
      <c r="T58" s="1141"/>
      <c r="U58" s="1142"/>
    </row>
    <row r="59" spans="1:21" ht="47.25" customHeight="1">
      <c r="A59" s="1143" t="s">
        <v>735</v>
      </c>
      <c r="B59" s="1144"/>
      <c r="C59" s="1144"/>
      <c r="D59" s="1144"/>
      <c r="E59" s="1144"/>
      <c r="F59" s="1144"/>
      <c r="G59" s="1144"/>
      <c r="H59" s="1144"/>
      <c r="I59" s="1145"/>
      <c r="J59" s="528" t="s">
        <v>128</v>
      </c>
      <c r="K59" s="528" t="s">
        <v>129</v>
      </c>
      <c r="M59" s="2"/>
      <c r="N59" s="2"/>
      <c r="O59" s="200" t="s">
        <v>141</v>
      </c>
      <c r="P59" s="201" t="s">
        <v>145</v>
      </c>
      <c r="Q59" s="1146" t="s">
        <v>143</v>
      </c>
      <c r="R59" s="1147"/>
      <c r="S59" s="1147"/>
      <c r="T59" s="1148"/>
      <c r="U59" s="202" t="s">
        <v>144</v>
      </c>
    </row>
    <row r="60" spans="1:21" ht="47.25" customHeight="1">
      <c r="A60" s="109"/>
      <c r="B60" s="586">
        <v>4</v>
      </c>
      <c r="C60" s="587">
        <v>38.18181818181818</v>
      </c>
      <c r="D60" s="587">
        <v>0.06554545454545455</v>
      </c>
      <c r="E60" s="1121" t="s">
        <v>523</v>
      </c>
      <c r="F60" s="1121"/>
      <c r="G60" s="1121"/>
      <c r="H60" s="1121"/>
      <c r="I60" s="1122"/>
      <c r="J60" s="528"/>
      <c r="K60" s="528"/>
      <c r="M60" s="2"/>
      <c r="N60" s="2"/>
      <c r="O60" s="1123" t="s">
        <v>95</v>
      </c>
      <c r="P60" s="532" t="s">
        <v>142</v>
      </c>
      <c r="Q60" s="1150" t="s">
        <v>723</v>
      </c>
      <c r="R60" s="1151"/>
      <c r="S60" s="1151"/>
      <c r="T60" s="1152"/>
      <c r="U60" s="1156"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121" t="s">
        <v>524</v>
      </c>
      <c r="F61" s="1121"/>
      <c r="G61" s="1121"/>
      <c r="H61" s="1121"/>
      <c r="I61" s="1122"/>
      <c r="J61" s="528">
        <f>C64*I58</f>
        <v>0</v>
      </c>
      <c r="K61" s="528">
        <f>I58*D64</f>
        <v>0</v>
      </c>
      <c r="O61" s="1149"/>
      <c r="P61" s="642">
        <f>ROUND(SUM(J67,O72,V72),2)</f>
        <v>0</v>
      </c>
      <c r="Q61" s="1153"/>
      <c r="R61" s="1154"/>
      <c r="S61" s="1154"/>
      <c r="T61" s="1155"/>
      <c r="U61" s="1157"/>
    </row>
    <row r="62" spans="1:22" ht="47.25" customHeight="1">
      <c r="A62" s="588"/>
      <c r="B62" s="589"/>
      <c r="C62" s="587">
        <v>119.18181818181819</v>
      </c>
      <c r="D62" s="587">
        <v>5.688295454545455</v>
      </c>
      <c r="E62" s="1121" t="s">
        <v>525</v>
      </c>
      <c r="F62" s="1121"/>
      <c r="G62" s="1121"/>
      <c r="H62" s="1121"/>
      <c r="I62" s="1122"/>
      <c r="J62" s="528"/>
      <c r="K62" s="528"/>
      <c r="O62" s="1123" t="s">
        <v>130</v>
      </c>
      <c r="P62" s="532" t="s">
        <v>147</v>
      </c>
      <c r="Q62" s="1125" t="s">
        <v>146</v>
      </c>
      <c r="R62" s="1126"/>
      <c r="S62" s="1126"/>
      <c r="T62" s="1127"/>
      <c r="U62" s="1131"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133" t="s">
        <v>154</v>
      </c>
      <c r="F63" s="1133"/>
      <c r="G63" s="1133"/>
      <c r="H63" s="1133"/>
      <c r="I63" s="1134"/>
      <c r="J63" s="528" t="s">
        <v>126</v>
      </c>
      <c r="K63" s="528" t="s">
        <v>127</v>
      </c>
      <c r="M63" s="181"/>
      <c r="N63" s="522"/>
      <c r="O63" s="1124"/>
      <c r="P63" s="643">
        <f>ROUND(IF(ISERROR(SUM(K67,P72,W72)*9/P61),0,SUM(K67,P72,W72)*9/P61),2)</f>
        <v>0</v>
      </c>
      <c r="Q63" s="1128"/>
      <c r="R63" s="1129"/>
      <c r="S63" s="1129"/>
      <c r="T63" s="1130"/>
      <c r="U63" s="1132"/>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135" t="s">
        <v>612</v>
      </c>
      <c r="B65" s="1135"/>
      <c r="C65" s="1135"/>
      <c r="D65" s="1135"/>
      <c r="E65" s="1135"/>
      <c r="F65" s="1135"/>
      <c r="G65" s="1135"/>
      <c r="H65" s="1135"/>
      <c r="I65" s="1135"/>
      <c r="P65" s="203"/>
    </row>
    <row r="66" spans="6:9" ht="22.5" customHeight="1" hidden="1">
      <c r="F66" s="1119" t="s">
        <v>131</v>
      </c>
      <c r="G66" s="1119"/>
      <c r="H66" s="1119"/>
      <c r="I66" s="1119"/>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120" t="s">
        <v>587</v>
      </c>
      <c r="P73" s="1120"/>
      <c r="Q73" s="1120"/>
      <c r="R73" s="1120"/>
      <c r="S73" s="1120"/>
      <c r="T73" s="1120"/>
      <c r="U73" s="1120"/>
    </row>
    <row r="74" spans="15:21" ht="15.75" thickBot="1">
      <c r="O74" s="1120"/>
      <c r="P74" s="1120"/>
      <c r="Q74" s="1120"/>
      <c r="R74" s="1120"/>
      <c r="S74" s="1120"/>
      <c r="T74" s="1120"/>
      <c r="U74" s="1120"/>
    </row>
    <row r="75" spans="15:21" ht="15.75" thickTop="1">
      <c r="O75" s="1030"/>
      <c r="P75" s="1031"/>
      <c r="Q75" s="1031"/>
      <c r="R75" s="1031"/>
      <c r="S75" s="1031"/>
      <c r="T75" s="1031"/>
      <c r="U75" s="1032"/>
    </row>
    <row r="76" spans="15:21" ht="15">
      <c r="O76" s="1033"/>
      <c r="P76" s="872"/>
      <c r="Q76" s="872"/>
      <c r="R76" s="872"/>
      <c r="S76" s="872"/>
      <c r="T76" s="872"/>
      <c r="U76" s="1034"/>
    </row>
    <row r="77" spans="15:21" ht="15">
      <c r="O77" s="1033"/>
      <c r="P77" s="872"/>
      <c r="Q77" s="872"/>
      <c r="R77" s="872"/>
      <c r="S77" s="872"/>
      <c r="T77" s="872"/>
      <c r="U77" s="1034"/>
    </row>
    <row r="78" spans="15:21" ht="15">
      <c r="O78" s="1033"/>
      <c r="P78" s="872"/>
      <c r="Q78" s="872"/>
      <c r="R78" s="872"/>
      <c r="S78" s="872"/>
      <c r="T78" s="872"/>
      <c r="U78" s="1034"/>
    </row>
    <row r="79" spans="15:21" ht="15">
      <c r="O79" s="1033"/>
      <c r="P79" s="872"/>
      <c r="Q79" s="872"/>
      <c r="R79" s="872"/>
      <c r="S79" s="872"/>
      <c r="T79" s="872"/>
      <c r="U79" s="1034"/>
    </row>
    <row r="80" spans="15:21" ht="15">
      <c r="O80" s="1033"/>
      <c r="P80" s="872"/>
      <c r="Q80" s="872"/>
      <c r="R80" s="872"/>
      <c r="S80" s="872"/>
      <c r="T80" s="872"/>
      <c r="U80" s="1034"/>
    </row>
    <row r="81" spans="15:21" ht="15">
      <c r="O81" s="1033"/>
      <c r="P81" s="872"/>
      <c r="Q81" s="872"/>
      <c r="R81" s="872"/>
      <c r="S81" s="872"/>
      <c r="T81" s="872"/>
      <c r="U81" s="1034"/>
    </row>
    <row r="82" spans="15:21" ht="15">
      <c r="O82" s="1033"/>
      <c r="P82" s="872"/>
      <c r="Q82" s="872"/>
      <c r="R82" s="872"/>
      <c r="S82" s="872"/>
      <c r="T82" s="872"/>
      <c r="U82" s="1034"/>
    </row>
    <row r="83" spans="15:21" ht="15">
      <c r="O83" s="1033"/>
      <c r="P83" s="872"/>
      <c r="Q83" s="872"/>
      <c r="R83" s="872"/>
      <c r="S83" s="872"/>
      <c r="T83" s="872"/>
      <c r="U83" s="1034"/>
    </row>
    <row r="84" spans="15:21" ht="15">
      <c r="O84" s="1033"/>
      <c r="P84" s="872"/>
      <c r="Q84" s="872"/>
      <c r="R84" s="872"/>
      <c r="S84" s="872"/>
      <c r="T84" s="872"/>
      <c r="U84" s="1034"/>
    </row>
    <row r="85" spans="15:21" ht="15">
      <c r="O85" s="1033"/>
      <c r="P85" s="872"/>
      <c r="Q85" s="872"/>
      <c r="R85" s="872"/>
      <c r="S85" s="872"/>
      <c r="T85" s="872"/>
      <c r="U85" s="1034"/>
    </row>
    <row r="86" spans="15:21" ht="15">
      <c r="O86" s="1033"/>
      <c r="P86" s="872"/>
      <c r="Q86" s="872"/>
      <c r="R86" s="872"/>
      <c r="S86" s="872"/>
      <c r="T86" s="872"/>
      <c r="U86" s="1034"/>
    </row>
    <row r="87" spans="15:21" ht="15">
      <c r="O87" s="1033"/>
      <c r="P87" s="872"/>
      <c r="Q87" s="872"/>
      <c r="R87" s="872"/>
      <c r="S87" s="872"/>
      <c r="T87" s="872"/>
      <c r="U87" s="1034"/>
    </row>
    <row r="88" spans="15:21" ht="15">
      <c r="O88" s="1033"/>
      <c r="P88" s="872"/>
      <c r="Q88" s="872"/>
      <c r="R88" s="872"/>
      <c r="S88" s="872"/>
      <c r="T88" s="872"/>
      <c r="U88" s="1034"/>
    </row>
    <row r="89" spans="15:21" ht="15">
      <c r="O89" s="1033"/>
      <c r="P89" s="872"/>
      <c r="Q89" s="872"/>
      <c r="R89" s="872"/>
      <c r="S89" s="872"/>
      <c r="T89" s="872"/>
      <c r="U89" s="1034"/>
    </row>
    <row r="90" spans="15:21" ht="15">
      <c r="O90" s="1033"/>
      <c r="P90" s="872"/>
      <c r="Q90" s="872"/>
      <c r="R90" s="872"/>
      <c r="S90" s="872"/>
      <c r="T90" s="872"/>
      <c r="U90" s="1034"/>
    </row>
    <row r="91" spans="15:21" ht="15">
      <c r="O91" s="1033"/>
      <c r="P91" s="872"/>
      <c r="Q91" s="872"/>
      <c r="R91" s="872"/>
      <c r="S91" s="872"/>
      <c r="T91" s="872"/>
      <c r="U91" s="1034"/>
    </row>
    <row r="92" spans="15:21" ht="15">
      <c r="O92" s="1033"/>
      <c r="P92" s="872"/>
      <c r="Q92" s="872"/>
      <c r="R92" s="872"/>
      <c r="S92" s="872"/>
      <c r="T92" s="872"/>
      <c r="U92" s="1034"/>
    </row>
    <row r="93" spans="15:21" ht="15">
      <c r="O93" s="1033"/>
      <c r="P93" s="872"/>
      <c r="Q93" s="872"/>
      <c r="R93" s="872"/>
      <c r="S93" s="872"/>
      <c r="T93" s="872"/>
      <c r="U93" s="1034"/>
    </row>
    <row r="94" spans="15:21" ht="15">
      <c r="O94" s="1033"/>
      <c r="P94" s="872"/>
      <c r="Q94" s="872"/>
      <c r="R94" s="872"/>
      <c r="S94" s="872"/>
      <c r="T94" s="872"/>
      <c r="U94" s="1034"/>
    </row>
    <row r="95" spans="15:21" ht="15">
      <c r="O95" s="1033"/>
      <c r="P95" s="872"/>
      <c r="Q95" s="872"/>
      <c r="R95" s="872"/>
      <c r="S95" s="872"/>
      <c r="T95" s="872"/>
      <c r="U95" s="1034"/>
    </row>
    <row r="96" spans="15:21" ht="15">
      <c r="O96" s="1033"/>
      <c r="P96" s="872"/>
      <c r="Q96" s="872"/>
      <c r="R96" s="872"/>
      <c r="S96" s="872"/>
      <c r="T96" s="872"/>
      <c r="U96" s="1034"/>
    </row>
    <row r="97" spans="15:21" ht="15">
      <c r="O97" s="1033"/>
      <c r="P97" s="872"/>
      <c r="Q97" s="872"/>
      <c r="R97" s="872"/>
      <c r="S97" s="872"/>
      <c r="T97" s="872"/>
      <c r="U97" s="1034"/>
    </row>
    <row r="98" spans="15:21" ht="15">
      <c r="O98" s="1033"/>
      <c r="P98" s="872"/>
      <c r="Q98" s="872"/>
      <c r="R98" s="872"/>
      <c r="S98" s="872"/>
      <c r="T98" s="872"/>
      <c r="U98" s="1034"/>
    </row>
    <row r="99" spans="15:21" ht="15">
      <c r="O99" s="1033"/>
      <c r="P99" s="872"/>
      <c r="Q99" s="872"/>
      <c r="R99" s="872"/>
      <c r="S99" s="872"/>
      <c r="T99" s="872"/>
      <c r="U99" s="1034"/>
    </row>
    <row r="100" spans="15:21" ht="15">
      <c r="O100" s="1033"/>
      <c r="P100" s="872"/>
      <c r="Q100" s="872"/>
      <c r="R100" s="872"/>
      <c r="S100" s="872"/>
      <c r="T100" s="872"/>
      <c r="U100" s="1034"/>
    </row>
    <row r="101" spans="15:21" ht="15">
      <c r="O101" s="1033"/>
      <c r="P101" s="872"/>
      <c r="Q101" s="872"/>
      <c r="R101" s="872"/>
      <c r="S101" s="872"/>
      <c r="T101" s="872"/>
      <c r="U101" s="1034"/>
    </row>
    <row r="102" spans="15:21" ht="15">
      <c r="O102" s="1033"/>
      <c r="P102" s="872"/>
      <c r="Q102" s="872"/>
      <c r="R102" s="872"/>
      <c r="S102" s="872"/>
      <c r="T102" s="872"/>
      <c r="U102" s="1034"/>
    </row>
    <row r="103" spans="15:21" ht="15.75" thickBot="1">
      <c r="O103" s="1035"/>
      <c r="P103" s="1036"/>
      <c r="Q103" s="1036"/>
      <c r="R103" s="1036"/>
      <c r="S103" s="1036"/>
      <c r="T103" s="1036"/>
      <c r="U103" s="1037"/>
    </row>
    <row r="104" ht="15.75" thickTop="1"/>
  </sheetData>
  <sheetProtection password="CB21" sheet="1" objects="1" scenarios="1"/>
  <mergeCells count="139">
    <mergeCell ref="A1:X1"/>
    <mergeCell ref="A2:L2"/>
    <mergeCell ref="M2:P2"/>
    <mergeCell ref="U2:V2"/>
    <mergeCell ref="W2:Y2"/>
    <mergeCell ref="A3:I3"/>
    <mergeCell ref="M3:Q3"/>
    <mergeCell ref="U3:X3"/>
    <mergeCell ref="A4:I6"/>
    <mergeCell ref="M4:Q4"/>
    <mergeCell ref="U4:X4"/>
    <mergeCell ref="AB6:AI6"/>
    <mergeCell ref="AK6:AQ7"/>
    <mergeCell ref="A7:I7"/>
    <mergeCell ref="AB7:AI7"/>
    <mergeCell ref="AB8:AE8"/>
    <mergeCell ref="AH8:AI8"/>
    <mergeCell ref="AK8:AM13"/>
    <mergeCell ref="AP8:AQ8"/>
    <mergeCell ref="A9:E9"/>
    <mergeCell ref="F9:I9"/>
    <mergeCell ref="AB9:AE9"/>
    <mergeCell ref="AH9:AI9"/>
    <mergeCell ref="AP9:AQ9"/>
    <mergeCell ref="AB10:AE11"/>
    <mergeCell ref="AH10:AI11"/>
    <mergeCell ref="AP10:AQ10"/>
    <mergeCell ref="AP11:AQ11"/>
    <mergeCell ref="AB12:AE13"/>
    <mergeCell ref="AH12:AI13"/>
    <mergeCell ref="AP12:AQ12"/>
    <mergeCell ref="AP13:AQ13"/>
    <mergeCell ref="AB14:AI14"/>
    <mergeCell ref="AK14:AQ15"/>
    <mergeCell ref="A15:I15"/>
    <mergeCell ref="AB15:AE15"/>
    <mergeCell ref="AH15:AI15"/>
    <mergeCell ref="AB16:AE16"/>
    <mergeCell ref="AH16:AI16"/>
    <mergeCell ref="AK16:AM17"/>
    <mergeCell ref="AP16:AQ17"/>
    <mergeCell ref="A17:I17"/>
    <mergeCell ref="AB17:AE18"/>
    <mergeCell ref="AH17:AI18"/>
    <mergeCell ref="E18:I18"/>
    <mergeCell ref="AK18:AM19"/>
    <mergeCell ref="AP18:AQ19"/>
    <mergeCell ref="E19:I19"/>
    <mergeCell ref="AB19:AE20"/>
    <mergeCell ref="AH19:AI20"/>
    <mergeCell ref="E20:I20"/>
    <mergeCell ref="E21:I21"/>
    <mergeCell ref="AB22:AQ22"/>
    <mergeCell ref="A23:I24"/>
    <mergeCell ref="A25:I25"/>
    <mergeCell ref="A26:F26"/>
    <mergeCell ref="AC26:AM26"/>
    <mergeCell ref="A27:I27"/>
    <mergeCell ref="AC27:AH27"/>
    <mergeCell ref="AI27:AK27"/>
    <mergeCell ref="AL27:AM27"/>
    <mergeCell ref="E28:I28"/>
    <mergeCell ref="AC28:AH28"/>
    <mergeCell ref="AI28:AK28"/>
    <mergeCell ref="AL28:AM28"/>
    <mergeCell ref="E29:I29"/>
    <mergeCell ref="AC29:AH29"/>
    <mergeCell ref="AI29:AK29"/>
    <mergeCell ref="AL29:AM29"/>
    <mergeCell ref="E30:I30"/>
    <mergeCell ref="AC30:AH30"/>
    <mergeCell ref="AI30:AK30"/>
    <mergeCell ref="AL30:AM30"/>
    <mergeCell ref="E31:I31"/>
    <mergeCell ref="AC31:AH31"/>
    <mergeCell ref="AI31:AK31"/>
    <mergeCell ref="AL31:AM31"/>
    <mergeCell ref="AC32:AH32"/>
    <mergeCell ref="AI32:AK32"/>
    <mergeCell ref="AL32:AM32"/>
    <mergeCell ref="A33:I33"/>
    <mergeCell ref="AC33:AH33"/>
    <mergeCell ref="AI33:AK33"/>
    <mergeCell ref="AL33:AM33"/>
    <mergeCell ref="A34:F34"/>
    <mergeCell ref="AC34:AH34"/>
    <mergeCell ref="AI34:AK34"/>
    <mergeCell ref="AL34:AM34"/>
    <mergeCell ref="A35:E35"/>
    <mergeCell ref="F35:I35"/>
    <mergeCell ref="AC35:AH35"/>
    <mergeCell ref="AI35:AK35"/>
    <mergeCell ref="AL35:AM35"/>
    <mergeCell ref="AC36:AH36"/>
    <mergeCell ref="AI36:AK36"/>
    <mergeCell ref="AL36:AM36"/>
    <mergeCell ref="AC37:AH37"/>
    <mergeCell ref="AI37:AK37"/>
    <mergeCell ref="AL37:AM37"/>
    <mergeCell ref="AC38:AH38"/>
    <mergeCell ref="AI38:AK38"/>
    <mergeCell ref="AL38:AM38"/>
    <mergeCell ref="AC39:AH39"/>
    <mergeCell ref="AI39:AK39"/>
    <mergeCell ref="AL39:AM39"/>
    <mergeCell ref="AC40:AN40"/>
    <mergeCell ref="A41:I41"/>
    <mergeCell ref="A42:F42"/>
    <mergeCell ref="A43:I43"/>
    <mergeCell ref="E44:I44"/>
    <mergeCell ref="E45:I45"/>
    <mergeCell ref="E46:I46"/>
    <mergeCell ref="E47:I47"/>
    <mergeCell ref="A49:I49"/>
    <mergeCell ref="A50:F50"/>
    <mergeCell ref="A51:I51"/>
    <mergeCell ref="E52:I52"/>
    <mergeCell ref="E53:I53"/>
    <mergeCell ref="E54:I54"/>
    <mergeCell ref="E55:I55"/>
    <mergeCell ref="A57:I57"/>
    <mergeCell ref="A58:F58"/>
    <mergeCell ref="O58:U58"/>
    <mergeCell ref="A59:I59"/>
    <mergeCell ref="Q59:T59"/>
    <mergeCell ref="E60:I60"/>
    <mergeCell ref="O60:O61"/>
    <mergeCell ref="Q60:T61"/>
    <mergeCell ref="U60:U61"/>
    <mergeCell ref="E61:I61"/>
    <mergeCell ref="F66:I66"/>
    <mergeCell ref="O73:U74"/>
    <mergeCell ref="O75:U103"/>
    <mergeCell ref="E62:I62"/>
    <mergeCell ref="O62:O63"/>
    <mergeCell ref="Q62:T63"/>
    <mergeCell ref="U62:U63"/>
    <mergeCell ref="E63:I63"/>
    <mergeCell ref="A65:I65"/>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18">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12" t="s">
        <v>720</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4"/>
      <c r="AF1" s="775" t="s">
        <v>544</v>
      </c>
      <c r="AG1" s="775"/>
      <c r="AH1" s="775"/>
      <c r="AI1" s="775"/>
      <c r="AJ1" s="775"/>
    </row>
    <row r="2" spans="2:36" ht="69.75" customHeight="1" thickBot="1">
      <c r="B2" s="715" t="s">
        <v>728</v>
      </c>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7"/>
      <c r="AF2" s="718" t="s">
        <v>166</v>
      </c>
      <c r="AG2" s="718"/>
      <c r="AH2" s="718"/>
      <c r="AI2" s="513"/>
      <c r="AJ2" s="513"/>
    </row>
    <row r="3" spans="2:29" ht="24" customHeight="1" thickBot="1">
      <c r="B3" s="725" t="s">
        <v>329</v>
      </c>
      <c r="C3" s="250"/>
      <c r="D3" s="250"/>
      <c r="E3" s="755" t="s">
        <v>62</v>
      </c>
      <c r="F3" s="251"/>
      <c r="G3" s="251"/>
      <c r="H3" s="757" t="s">
        <v>330</v>
      </c>
      <c r="I3" s="360"/>
      <c r="J3" s="360"/>
      <c r="K3" s="757" t="s">
        <v>62</v>
      </c>
      <c r="L3" s="251"/>
      <c r="M3" s="251"/>
      <c r="N3" s="744" t="s">
        <v>331</v>
      </c>
      <c r="O3" s="362"/>
      <c r="P3" s="362"/>
      <c r="Q3" s="744" t="s">
        <v>62</v>
      </c>
      <c r="R3" s="251"/>
      <c r="S3" s="251"/>
      <c r="T3" s="746" t="s">
        <v>332</v>
      </c>
      <c r="U3" s="356"/>
      <c r="V3" s="356"/>
      <c r="W3" s="746" t="s">
        <v>62</v>
      </c>
      <c r="X3" s="251"/>
      <c r="Y3" s="251"/>
      <c r="Z3" s="748" t="s">
        <v>333</v>
      </c>
      <c r="AA3" s="358"/>
      <c r="AB3" s="252"/>
      <c r="AC3" s="750" t="s">
        <v>62</v>
      </c>
    </row>
    <row r="4" spans="2:36" ht="60.75" customHeight="1" thickBot="1">
      <c r="B4" s="726"/>
      <c r="C4" s="355" t="s">
        <v>63</v>
      </c>
      <c r="D4" s="355"/>
      <c r="E4" s="756"/>
      <c r="F4" s="289" t="s">
        <v>65</v>
      </c>
      <c r="G4" s="289" t="s">
        <v>66</v>
      </c>
      <c r="H4" s="758"/>
      <c r="I4" s="361" t="s">
        <v>69</v>
      </c>
      <c r="J4" s="361"/>
      <c r="K4" s="758"/>
      <c r="L4" s="289" t="s">
        <v>67</v>
      </c>
      <c r="M4" s="289" t="s">
        <v>68</v>
      </c>
      <c r="N4" s="745"/>
      <c r="O4" s="363" t="s">
        <v>70</v>
      </c>
      <c r="P4" s="363"/>
      <c r="Q4" s="745"/>
      <c r="R4" s="289" t="s">
        <v>71</v>
      </c>
      <c r="S4" s="289" t="s">
        <v>72</v>
      </c>
      <c r="T4" s="747"/>
      <c r="U4" s="357" t="s">
        <v>73</v>
      </c>
      <c r="V4" s="357"/>
      <c r="W4" s="747"/>
      <c r="X4" s="289" t="s">
        <v>74</v>
      </c>
      <c r="Y4" s="289" t="s">
        <v>75</v>
      </c>
      <c r="Z4" s="749"/>
      <c r="AA4" s="359" t="s">
        <v>76</v>
      </c>
      <c r="AB4" s="290"/>
      <c r="AC4" s="751"/>
      <c r="AD4" s="85" t="s">
        <v>77</v>
      </c>
      <c r="AE4" s="85" t="s">
        <v>78</v>
      </c>
      <c r="AG4" s="719" t="s">
        <v>246</v>
      </c>
      <c r="AH4" s="720"/>
      <c r="AI4" s="720"/>
      <c r="AJ4" s="721"/>
    </row>
    <row r="5" spans="2:36" ht="34.5" customHeight="1" thickBot="1">
      <c r="B5" s="729">
        <f>IF(OR(COUNTIF(C6:C15,12)&gt;0,COUNTIF(C6:C15,2)&gt;0,COUNTIF(C6:C15,4)&gt;0,COUNTIF(C6:C15,10)&gt;0,COUNTIF(C6:C15,15)&gt;0,COUNTIF(C6:C15,17)&gt;0,),"Remember to enter CREDITABLE amounts of leafy greens!","")</f>
      </c>
      <c r="C5" s="730"/>
      <c r="D5" s="730"/>
      <c r="E5" s="731"/>
      <c r="F5" s="386"/>
      <c r="G5" s="386"/>
      <c r="H5" s="732">
        <f>IF(COUNTIF(I6:I15,10)&gt;0,"Remember to enter the CREDITABLE amount of tomato paste!","")</f>
      </c>
      <c r="I5" s="733"/>
      <c r="J5" s="733"/>
      <c r="K5" s="734"/>
      <c r="L5" s="386"/>
      <c r="M5" s="386"/>
      <c r="N5" s="735">
        <f>IF(SUM(O6:O15)&gt;10,"If crediting as a vegetable do not also credit as a meat/meat alternate","")</f>
      </c>
      <c r="O5" s="736"/>
      <c r="P5" s="736"/>
      <c r="Q5" s="737"/>
      <c r="R5" s="387"/>
      <c r="S5" s="387"/>
      <c r="T5" s="738"/>
      <c r="U5" s="739"/>
      <c r="V5" s="739"/>
      <c r="W5" s="740"/>
      <c r="X5" s="387"/>
      <c r="Y5" s="387"/>
      <c r="Z5" s="741"/>
      <c r="AA5" s="742"/>
      <c r="AB5" s="742"/>
      <c r="AC5" s="743"/>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09"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10"/>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10"/>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10"/>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10"/>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11"/>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22" t="s">
        <v>445</v>
      </c>
      <c r="AH12" s="723"/>
      <c r="AI12" s="723"/>
      <c r="AJ12" s="724"/>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27" t="s">
        <v>237</v>
      </c>
      <c r="AH13" s="397"/>
      <c r="AI13" s="397"/>
      <c r="AJ13" s="703"/>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28"/>
      <c r="AH14" s="396"/>
      <c r="AI14" s="396"/>
      <c r="AJ14" s="704"/>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28"/>
      <c r="AH15" s="396"/>
      <c r="AI15" s="396"/>
      <c r="AJ15" s="704"/>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05" t="s">
        <v>235</v>
      </c>
      <c r="AH16" s="396"/>
      <c r="AI16" s="396"/>
      <c r="AJ16" s="707">
        <f>FLOOR(AJ13,0.125)</f>
        <v>0</v>
      </c>
    </row>
    <row r="17" spans="2:36" ht="33.75" customHeight="1">
      <c r="B17" s="752">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53"/>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4"/>
      <c r="AG17" s="705"/>
      <c r="AH17" s="25"/>
      <c r="AI17" s="25"/>
      <c r="AJ17" s="707"/>
    </row>
    <row r="18" spans="2:36" ht="33.75" customHeight="1" thickBot="1">
      <c r="B18" s="759" t="s">
        <v>239</v>
      </c>
      <c r="C18" s="760"/>
      <c r="D18" s="760"/>
      <c r="E18" s="760"/>
      <c r="F18" s="275"/>
      <c r="G18" s="275"/>
      <c r="H18" s="761" t="s">
        <v>240</v>
      </c>
      <c r="I18" s="761"/>
      <c r="J18" s="761"/>
      <c r="K18" s="761"/>
      <c r="L18" s="275"/>
      <c r="M18" s="275"/>
      <c r="N18" s="762" t="s">
        <v>241</v>
      </c>
      <c r="O18" s="762"/>
      <c r="P18" s="762"/>
      <c r="Q18" s="762"/>
      <c r="R18" s="275"/>
      <c r="S18" s="275"/>
      <c r="T18" s="763" t="s">
        <v>242</v>
      </c>
      <c r="U18" s="763"/>
      <c r="V18" s="763"/>
      <c r="W18" s="763"/>
      <c r="X18" s="275"/>
      <c r="Y18" s="275"/>
      <c r="Z18" s="764" t="s">
        <v>243</v>
      </c>
      <c r="AA18" s="764"/>
      <c r="AB18" s="764"/>
      <c r="AC18" s="765"/>
      <c r="AG18" s="706"/>
      <c r="AH18" s="21"/>
      <c r="AI18" s="21"/>
      <c r="AJ18" s="708"/>
    </row>
    <row r="19" spans="2:29" ht="33.75" customHeight="1">
      <c r="B19" s="768"/>
      <c r="C19" s="769"/>
      <c r="D19" s="769"/>
      <c r="E19" s="769"/>
      <c r="F19" s="319"/>
      <c r="G19" s="319"/>
      <c r="H19" s="770"/>
      <c r="I19" s="770"/>
      <c r="J19" s="770"/>
      <c r="K19" s="770"/>
      <c r="L19" s="319"/>
      <c r="M19" s="319"/>
      <c r="N19" s="771"/>
      <c r="O19" s="771"/>
      <c r="P19" s="771"/>
      <c r="Q19" s="771"/>
      <c r="R19" s="319"/>
      <c r="S19" s="319"/>
      <c r="T19" s="772"/>
      <c r="U19" s="772"/>
      <c r="V19" s="772"/>
      <c r="W19" s="772"/>
      <c r="X19" s="319"/>
      <c r="Y19" s="319"/>
      <c r="Z19" s="766"/>
      <c r="AA19" s="766"/>
      <c r="AB19" s="766"/>
      <c r="AC19" s="767"/>
    </row>
    <row r="20" spans="2:29" ht="33.75" customHeight="1">
      <c r="B20" s="768"/>
      <c r="C20" s="769"/>
      <c r="D20" s="769"/>
      <c r="E20" s="769"/>
      <c r="F20" s="319"/>
      <c r="G20" s="319"/>
      <c r="H20" s="770"/>
      <c r="I20" s="770"/>
      <c r="J20" s="770"/>
      <c r="K20" s="770"/>
      <c r="L20" s="319"/>
      <c r="M20" s="319"/>
      <c r="N20" s="771"/>
      <c r="O20" s="771"/>
      <c r="P20" s="771"/>
      <c r="Q20" s="771"/>
      <c r="R20" s="319"/>
      <c r="S20" s="319"/>
      <c r="T20" s="772"/>
      <c r="U20" s="772"/>
      <c r="V20" s="772"/>
      <c r="W20" s="772"/>
      <c r="X20" s="319"/>
      <c r="Y20" s="319"/>
      <c r="Z20" s="766"/>
      <c r="AA20" s="766"/>
      <c r="AB20" s="766"/>
      <c r="AC20" s="767"/>
    </row>
    <row r="21" spans="2:29" ht="33.75" customHeight="1">
      <c r="B21" s="773"/>
      <c r="C21" s="774"/>
      <c r="D21" s="774"/>
      <c r="E21" s="774"/>
      <c r="F21" s="319"/>
      <c r="G21" s="319"/>
      <c r="H21" s="770"/>
      <c r="I21" s="770"/>
      <c r="J21" s="770"/>
      <c r="K21" s="770"/>
      <c r="L21" s="319"/>
      <c r="M21" s="319"/>
      <c r="N21" s="771"/>
      <c r="O21" s="771"/>
      <c r="P21" s="771"/>
      <c r="Q21" s="771"/>
      <c r="R21" s="319"/>
      <c r="S21" s="319"/>
      <c r="T21" s="772"/>
      <c r="U21" s="772"/>
      <c r="V21" s="772"/>
      <c r="W21" s="772"/>
      <c r="X21" s="319"/>
      <c r="Y21" s="319"/>
      <c r="Z21" s="766"/>
      <c r="AA21" s="766"/>
      <c r="AB21" s="766"/>
      <c r="AC21" s="767"/>
    </row>
    <row r="22" spans="2:29" ht="33.75" customHeight="1">
      <c r="B22" s="773"/>
      <c r="C22" s="774"/>
      <c r="D22" s="774"/>
      <c r="E22" s="774"/>
      <c r="F22" s="319"/>
      <c r="G22" s="319"/>
      <c r="H22" s="770"/>
      <c r="I22" s="770"/>
      <c r="J22" s="770"/>
      <c r="K22" s="770"/>
      <c r="L22" s="319"/>
      <c r="M22" s="319"/>
      <c r="N22" s="771"/>
      <c r="O22" s="771"/>
      <c r="P22" s="771"/>
      <c r="Q22" s="771"/>
      <c r="R22" s="319"/>
      <c r="S22" s="319"/>
      <c r="T22" s="772"/>
      <c r="U22" s="772"/>
      <c r="V22" s="772"/>
      <c r="W22" s="772"/>
      <c r="X22" s="319"/>
      <c r="Y22" s="319"/>
      <c r="Z22" s="766"/>
      <c r="AA22" s="766"/>
      <c r="AB22" s="766"/>
      <c r="AC22" s="767"/>
    </row>
    <row r="23" spans="2:29" ht="33.75" customHeight="1" thickBot="1">
      <c r="B23" s="776"/>
      <c r="C23" s="777"/>
      <c r="D23" s="777"/>
      <c r="E23" s="777"/>
      <c r="F23" s="97"/>
      <c r="G23" s="97"/>
      <c r="H23" s="778"/>
      <c r="I23" s="778"/>
      <c r="J23" s="778"/>
      <c r="K23" s="778"/>
      <c r="L23" s="97"/>
      <c r="M23" s="97"/>
      <c r="N23" s="779"/>
      <c r="O23" s="779"/>
      <c r="P23" s="779"/>
      <c r="Q23" s="779"/>
      <c r="R23" s="97"/>
      <c r="S23" s="97"/>
      <c r="T23" s="780"/>
      <c r="U23" s="780"/>
      <c r="V23" s="780"/>
      <c r="W23" s="780"/>
      <c r="X23" s="97"/>
      <c r="Y23" s="97"/>
      <c r="Z23" s="781"/>
      <c r="AA23" s="781"/>
      <c r="AB23" s="781"/>
      <c r="AC23" s="782"/>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zoomScalePageLayoutView="0" workbookViewId="0" topLeftCell="A1">
      <pane xSplit="3" ySplit="10" topLeftCell="H11" activePane="bottomRight" state="frozen"/>
      <selection pane="topLeft" activeCell="A1" sqref="A1"/>
      <selection pane="topRight" activeCell="A1" sqref="A1"/>
      <selection pane="bottomLeft" activeCell="A1" sqref="A1"/>
      <selection pane="bottomRight" activeCell="T17" sqref="T17"/>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822" t="s">
        <v>718</v>
      </c>
      <c r="B1" s="823"/>
      <c r="C1" s="824"/>
      <c r="D1" s="824"/>
      <c r="E1" s="824"/>
      <c r="F1" s="824"/>
      <c r="G1" s="824"/>
      <c r="H1" s="824"/>
      <c r="I1" s="824"/>
      <c r="J1" s="824"/>
      <c r="K1" s="824"/>
      <c r="L1" s="824"/>
      <c r="M1" s="824"/>
      <c r="N1" s="824"/>
      <c r="O1" s="824"/>
      <c r="P1" s="824"/>
      <c r="Q1" s="824"/>
      <c r="R1" s="824"/>
      <c r="S1" s="824"/>
      <c r="T1" s="825"/>
    </row>
    <row r="2" spans="1:20" s="196" customFormat="1" ht="26.25" customHeight="1">
      <c r="A2" s="400"/>
      <c r="B2" s="835" t="s">
        <v>447</v>
      </c>
      <c r="C2" s="836"/>
      <c r="D2" s="836"/>
      <c r="E2" s="836"/>
      <c r="F2" s="836"/>
      <c r="G2" s="783"/>
      <c r="H2" s="783"/>
      <c r="I2" s="783"/>
      <c r="J2" s="783"/>
      <c r="K2" s="783"/>
      <c r="L2" s="783"/>
      <c r="M2" s="783"/>
      <c r="N2" s="783"/>
      <c r="O2" s="783"/>
      <c r="P2" s="783"/>
      <c r="Q2" s="783"/>
      <c r="R2" s="783"/>
      <c r="S2" s="783"/>
      <c r="T2" s="784"/>
    </row>
    <row r="3" spans="1:20" s="196" customFormat="1" ht="23.25" customHeight="1" thickBot="1">
      <c r="A3" s="400"/>
      <c r="B3" s="800" t="s">
        <v>719</v>
      </c>
      <c r="C3" s="801"/>
      <c r="D3" s="801"/>
      <c r="E3" s="801"/>
      <c r="F3" s="801"/>
      <c r="G3" s="796"/>
      <c r="H3" s="796"/>
      <c r="I3" s="796"/>
      <c r="J3" s="796"/>
      <c r="K3" s="796"/>
      <c r="L3" s="796"/>
      <c r="M3" s="796"/>
      <c r="N3" s="796"/>
      <c r="O3" s="796"/>
      <c r="P3" s="796"/>
      <c r="Q3" s="796"/>
      <c r="R3" s="796"/>
      <c r="S3" s="796"/>
      <c r="T3" s="797"/>
    </row>
    <row r="4" spans="2:26" ht="46.5" customHeight="1" thickBot="1">
      <c r="B4" s="793" t="s">
        <v>645</v>
      </c>
      <c r="C4" s="793"/>
      <c r="D4" s="793"/>
      <c r="E4" s="793"/>
      <c r="F4" s="793"/>
      <c r="G4" s="793"/>
      <c r="H4" s="793"/>
      <c r="I4" s="793"/>
      <c r="J4" s="793"/>
      <c r="K4" s="793"/>
      <c r="L4" s="793"/>
      <c r="M4" s="793"/>
      <c r="N4" s="793"/>
      <c r="O4" s="793"/>
      <c r="P4" s="793"/>
      <c r="Q4" s="793"/>
      <c r="R4" s="793"/>
      <c r="S4" s="793"/>
      <c r="T4" s="793"/>
      <c r="U4" s="269"/>
      <c r="V4" s="270"/>
      <c r="W4" s="719" t="s">
        <v>246</v>
      </c>
      <c r="X4" s="720"/>
      <c r="Y4" s="720"/>
      <c r="Z4" s="721"/>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21" t="s">
        <v>443</v>
      </c>
      <c r="D6" s="805"/>
      <c r="E6" s="805"/>
      <c r="F6" s="805" t="s">
        <v>580</v>
      </c>
      <c r="G6" s="805"/>
      <c r="H6" s="805" t="s">
        <v>444</v>
      </c>
      <c r="I6" s="805"/>
      <c r="J6" s="805"/>
      <c r="K6" s="805"/>
      <c r="L6" s="805"/>
      <c r="M6" s="805"/>
      <c r="N6" s="805"/>
      <c r="O6" s="805"/>
      <c r="P6" s="805"/>
      <c r="Q6" s="805"/>
      <c r="R6" s="805"/>
      <c r="S6" s="805"/>
      <c r="T6" s="805"/>
      <c r="U6" s="172"/>
      <c r="V6" s="172"/>
      <c r="W6" s="709" t="s">
        <v>238</v>
      </c>
      <c r="X6" s="319">
        <v>1</v>
      </c>
      <c r="Y6" s="319">
        <f>INDEX(Cups,X6)</f>
        <v>0</v>
      </c>
      <c r="Z6" s="331"/>
    </row>
    <row r="7" spans="2:26" s="415" customFormat="1" ht="16.5" customHeight="1">
      <c r="B7" s="787">
        <v>1</v>
      </c>
      <c r="C7" s="788"/>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10"/>
      <c r="X7" s="417"/>
      <c r="Y7" s="417"/>
      <c r="Z7" s="418"/>
    </row>
    <row r="8" spans="2:26" s="23" customFormat="1" ht="48" customHeight="1">
      <c r="B8" s="831" t="s">
        <v>244</v>
      </c>
      <c r="C8" s="832"/>
      <c r="D8" s="419" t="s">
        <v>526</v>
      </c>
      <c r="E8" s="802" t="s">
        <v>726</v>
      </c>
      <c r="F8" s="803"/>
      <c r="G8" s="804"/>
      <c r="H8" s="828" t="s">
        <v>527</v>
      </c>
      <c r="I8" s="829"/>
      <c r="J8" s="829"/>
      <c r="K8" s="830"/>
      <c r="L8" s="420"/>
      <c r="M8" s="420"/>
      <c r="N8" s="818" t="s">
        <v>528</v>
      </c>
      <c r="O8" s="819"/>
      <c r="P8" s="819"/>
      <c r="Q8" s="820"/>
      <c r="R8" s="420"/>
      <c r="S8" s="420"/>
      <c r="T8" s="458" t="s">
        <v>529</v>
      </c>
      <c r="U8" s="172"/>
      <c r="V8" s="172"/>
      <c r="W8" s="710"/>
      <c r="X8" s="319">
        <v>1</v>
      </c>
      <c r="Y8" s="319">
        <f>INDEX(Cups,X8)</f>
        <v>0</v>
      </c>
      <c r="Z8" s="332"/>
    </row>
    <row r="9" spans="1:26" ht="30.75" customHeight="1">
      <c r="A9" s="27"/>
      <c r="B9" s="831"/>
      <c r="C9" s="832"/>
      <c r="D9" s="791" t="s">
        <v>319</v>
      </c>
      <c r="E9" s="798" t="s">
        <v>727</v>
      </c>
      <c r="F9" s="789" t="s">
        <v>320</v>
      </c>
      <c r="G9" s="839" t="s">
        <v>322</v>
      </c>
      <c r="H9" s="806" t="s">
        <v>557</v>
      </c>
      <c r="I9" s="176" t="s">
        <v>5</v>
      </c>
      <c r="J9" s="176" t="s">
        <v>6</v>
      </c>
      <c r="K9" s="826" t="s">
        <v>96</v>
      </c>
      <c r="L9" s="173" t="s">
        <v>89</v>
      </c>
      <c r="M9" s="173" t="s">
        <v>90</v>
      </c>
      <c r="N9" s="785" t="s">
        <v>558</v>
      </c>
      <c r="O9" s="174" t="s">
        <v>7</v>
      </c>
      <c r="P9" s="175" t="s">
        <v>8</v>
      </c>
      <c r="Q9" s="837" t="s">
        <v>539</v>
      </c>
      <c r="R9" s="479" t="s">
        <v>540</v>
      </c>
      <c r="S9" s="479" t="s">
        <v>541</v>
      </c>
      <c r="T9" s="812" t="s">
        <v>321</v>
      </c>
      <c r="U9" s="192"/>
      <c r="V9" s="192"/>
      <c r="W9" s="710"/>
      <c r="X9" s="319">
        <v>1</v>
      </c>
      <c r="Y9" s="319">
        <f>INDEX(Cups,X9)</f>
        <v>0</v>
      </c>
      <c r="Z9" s="332"/>
    </row>
    <row r="10" spans="1:26" s="1" customFormat="1" ht="63" customHeight="1">
      <c r="A10" s="27"/>
      <c r="B10" s="833"/>
      <c r="C10" s="834"/>
      <c r="D10" s="792"/>
      <c r="E10" s="799"/>
      <c r="F10" s="790"/>
      <c r="G10" s="840"/>
      <c r="H10" s="807"/>
      <c r="I10" s="176"/>
      <c r="J10" s="176"/>
      <c r="K10" s="827"/>
      <c r="L10" s="65"/>
      <c r="M10" s="65"/>
      <c r="N10" s="786"/>
      <c r="O10" s="485"/>
      <c r="P10" s="83"/>
      <c r="Q10" s="838"/>
      <c r="R10" s="480"/>
      <c r="S10" s="480"/>
      <c r="T10" s="813"/>
      <c r="U10" s="85"/>
      <c r="V10" s="85"/>
      <c r="W10" s="710"/>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8</v>
      </c>
      <c r="P11" s="407">
        <f aca="true" t="shared" si="1" ref="P11:P43">IF(O11=1,"",INDEX(Cups,O11))</f>
        <v>0.875</v>
      </c>
      <c r="Q11" s="656"/>
      <c r="R11" s="406">
        <v>1</v>
      </c>
      <c r="S11" s="481">
        <f aca="true" t="shared" si="2" ref="S11:S42">IF(R11=1,"",INDEX(Cups,R11))</f>
      </c>
      <c r="T11" s="413">
        <v>1</v>
      </c>
      <c r="U11" s="85"/>
      <c r="V11" s="85"/>
      <c r="W11" s="710"/>
      <c r="X11" s="319">
        <v>1</v>
      </c>
      <c r="Y11" s="319">
        <f>INDEX(Cups,X11)</f>
        <v>0</v>
      </c>
      <c r="Z11" s="816">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10"/>
      <c r="X12" s="256"/>
      <c r="Y12" s="257"/>
      <c r="Z12" s="816"/>
    </row>
    <row r="13" spans="1:26" ht="32.25" customHeight="1" thickBot="1">
      <c r="A13" s="27">
        <v>2</v>
      </c>
      <c r="B13" s="327">
        <v>1</v>
      </c>
      <c r="C13" s="599" t="s">
        <v>802</v>
      </c>
      <c r="D13" s="601">
        <v>2</v>
      </c>
      <c r="E13" s="592">
        <v>2</v>
      </c>
      <c r="F13" s="593">
        <v>2</v>
      </c>
      <c r="G13" s="594"/>
      <c r="H13" s="229"/>
      <c r="I13" s="96">
        <v>5</v>
      </c>
      <c r="J13" s="271">
        <f>IF(I13=1,"",INDEX(Cups,I13))</f>
        <v>0.5</v>
      </c>
      <c r="K13" s="230"/>
      <c r="L13" s="81">
        <v>1</v>
      </c>
      <c r="M13" s="81">
        <f t="shared" si="0"/>
      </c>
      <c r="N13" s="229"/>
      <c r="O13" s="401">
        <v>7</v>
      </c>
      <c r="P13" s="84">
        <f t="shared" si="1"/>
        <v>0.75</v>
      </c>
      <c r="Q13" s="657"/>
      <c r="R13" s="81">
        <v>1</v>
      </c>
      <c r="S13" s="446">
        <f t="shared" si="2"/>
      </c>
      <c r="T13" s="595">
        <v>1</v>
      </c>
      <c r="U13" s="85"/>
      <c r="V13" s="85"/>
      <c r="W13" s="711"/>
      <c r="X13" s="256"/>
      <c r="Y13" s="256"/>
      <c r="Z13" s="817"/>
    </row>
    <row r="14" spans="1:26" ht="32.25" customHeight="1" thickBot="1">
      <c r="A14" s="27">
        <v>3</v>
      </c>
      <c r="B14" s="327">
        <v>2</v>
      </c>
      <c r="C14" s="664" t="s">
        <v>803</v>
      </c>
      <c r="D14" s="601">
        <v>2</v>
      </c>
      <c r="E14" s="592">
        <v>2</v>
      </c>
      <c r="F14" s="593">
        <v>1</v>
      </c>
      <c r="G14" s="594"/>
      <c r="H14" s="327"/>
      <c r="I14" s="318">
        <v>5</v>
      </c>
      <c r="J14" s="271">
        <f aca="true" t="shared" si="3" ref="J14:J44">IF(I14=1,"",INDEX(Cups,I14))</f>
        <v>0.5</v>
      </c>
      <c r="K14" s="230"/>
      <c r="L14" s="81">
        <v>1</v>
      </c>
      <c r="M14" s="81">
        <f t="shared" si="0"/>
      </c>
      <c r="N14" s="327"/>
      <c r="O14" s="318">
        <v>7</v>
      </c>
      <c r="P14" s="80">
        <f t="shared" si="1"/>
        <v>0.75</v>
      </c>
      <c r="Q14" s="230"/>
      <c r="R14" s="81">
        <v>1</v>
      </c>
      <c r="S14" s="81">
        <f t="shared" si="2"/>
      </c>
      <c r="T14" s="595">
        <v>1</v>
      </c>
      <c r="U14" s="85"/>
      <c r="V14" s="85"/>
      <c r="W14" s="722" t="s">
        <v>445</v>
      </c>
      <c r="X14" s="723"/>
      <c r="Y14" s="723"/>
      <c r="Z14" s="724"/>
    </row>
    <row r="15" spans="1:26" ht="32.25" customHeight="1">
      <c r="A15" s="27">
        <v>4</v>
      </c>
      <c r="B15" s="327">
        <v>3</v>
      </c>
      <c r="C15" s="664" t="s">
        <v>804</v>
      </c>
      <c r="D15" s="601">
        <v>2</v>
      </c>
      <c r="E15" s="592">
        <v>1</v>
      </c>
      <c r="F15" s="593">
        <v>1</v>
      </c>
      <c r="G15" s="594"/>
      <c r="H15" s="327"/>
      <c r="I15" s="318">
        <v>5</v>
      </c>
      <c r="J15" s="271">
        <f t="shared" si="3"/>
        <v>0.5</v>
      </c>
      <c r="K15" s="230"/>
      <c r="L15" s="81">
        <v>1</v>
      </c>
      <c r="M15" s="81">
        <f t="shared" si="0"/>
      </c>
      <c r="N15" s="327"/>
      <c r="O15" s="318">
        <v>11</v>
      </c>
      <c r="P15" s="80">
        <f t="shared" si="1"/>
        <v>1.25</v>
      </c>
      <c r="Q15" s="230"/>
      <c r="R15" s="81">
        <v>1</v>
      </c>
      <c r="S15" s="81">
        <f t="shared" si="2"/>
      </c>
      <c r="T15" s="595">
        <v>1</v>
      </c>
      <c r="U15" s="85"/>
      <c r="V15" s="85"/>
      <c r="W15" s="810" t="s">
        <v>237</v>
      </c>
      <c r="X15" s="261"/>
      <c r="Y15" s="262"/>
      <c r="Z15" s="814"/>
    </row>
    <row r="16" spans="1:26" ht="32.25" customHeight="1">
      <c r="A16" s="27">
        <v>5</v>
      </c>
      <c r="B16" s="327">
        <v>4</v>
      </c>
      <c r="C16" s="664" t="s">
        <v>805</v>
      </c>
      <c r="D16" s="601">
        <v>2</v>
      </c>
      <c r="E16" s="592">
        <v>1.5</v>
      </c>
      <c r="F16" s="593">
        <v>1.5</v>
      </c>
      <c r="G16" s="594"/>
      <c r="H16" s="327"/>
      <c r="I16" s="318">
        <v>5</v>
      </c>
      <c r="J16" s="271">
        <f t="shared" si="3"/>
        <v>0.5</v>
      </c>
      <c r="K16" s="230"/>
      <c r="L16" s="81">
        <v>1</v>
      </c>
      <c r="M16" s="81">
        <f t="shared" si="0"/>
      </c>
      <c r="N16" s="327"/>
      <c r="O16" s="318">
        <v>8</v>
      </c>
      <c r="P16" s="80">
        <f t="shared" si="1"/>
        <v>0.875</v>
      </c>
      <c r="Q16" s="230"/>
      <c r="R16" s="81">
        <v>1</v>
      </c>
      <c r="S16" s="81">
        <f t="shared" si="2"/>
      </c>
      <c r="T16" s="595">
        <v>1</v>
      </c>
      <c r="U16" s="85"/>
      <c r="V16" s="85"/>
      <c r="W16" s="811"/>
      <c r="X16" s="263"/>
      <c r="Y16" s="264"/>
      <c r="Z16" s="815"/>
    </row>
    <row r="17" spans="1:26" ht="32.25" customHeight="1">
      <c r="A17" s="27">
        <v>6</v>
      </c>
      <c r="B17" s="327">
        <v>5</v>
      </c>
      <c r="C17" s="664" t="s">
        <v>806</v>
      </c>
      <c r="D17" s="601">
        <v>1.5</v>
      </c>
      <c r="E17" s="592">
        <v>2</v>
      </c>
      <c r="F17" s="593">
        <v>2</v>
      </c>
      <c r="G17" s="594"/>
      <c r="H17" s="327"/>
      <c r="I17" s="318">
        <v>5</v>
      </c>
      <c r="J17" s="271">
        <f t="shared" si="3"/>
        <v>0.5</v>
      </c>
      <c r="K17" s="230"/>
      <c r="L17" s="81">
        <v>1</v>
      </c>
      <c r="M17" s="81">
        <f t="shared" si="0"/>
      </c>
      <c r="N17" s="327"/>
      <c r="O17" s="318">
        <v>9</v>
      </c>
      <c r="P17" s="80">
        <f t="shared" si="1"/>
        <v>1</v>
      </c>
      <c r="Q17" s="230"/>
      <c r="R17" s="81">
        <v>1</v>
      </c>
      <c r="S17" s="81">
        <f t="shared" si="2"/>
      </c>
      <c r="T17" s="595">
        <v>1</v>
      </c>
      <c r="U17" s="85"/>
      <c r="V17" s="85"/>
      <c r="W17" s="794" t="s">
        <v>235</v>
      </c>
      <c r="X17" s="265"/>
      <c r="Y17" s="266"/>
      <c r="Z17" s="808">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795"/>
      <c r="X18" s="267"/>
      <c r="Y18" s="268"/>
      <c r="Z18" s="809"/>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A1:T1"/>
    <mergeCell ref="H6:T6"/>
    <mergeCell ref="K9:K10"/>
    <mergeCell ref="H8:K8"/>
    <mergeCell ref="B8:C10"/>
    <mergeCell ref="B2:F2"/>
    <mergeCell ref="Q9:Q10"/>
    <mergeCell ref="G9:G10"/>
    <mergeCell ref="Z17:Z18"/>
    <mergeCell ref="W4:Z4"/>
    <mergeCell ref="W6:W13"/>
    <mergeCell ref="W14:Z14"/>
    <mergeCell ref="W15:W16"/>
    <mergeCell ref="T9:T10"/>
    <mergeCell ref="Z15:Z16"/>
    <mergeCell ref="Z11:Z13"/>
    <mergeCell ref="W17:W18"/>
    <mergeCell ref="G3:T3"/>
    <mergeCell ref="E9:E10"/>
    <mergeCell ref="B3:F3"/>
    <mergeCell ref="E8:G8"/>
    <mergeCell ref="F6:G6"/>
    <mergeCell ref="H9:H10"/>
    <mergeCell ref="N8:Q8"/>
    <mergeCell ref="C6:E6"/>
    <mergeCell ref="G2:T2"/>
    <mergeCell ref="N9:N10"/>
    <mergeCell ref="B7:C7"/>
    <mergeCell ref="F9:F10"/>
    <mergeCell ref="D9:D10"/>
    <mergeCell ref="B4:T4"/>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R5" sqref="R5:R6"/>
      <selection pane="bottomLeft" activeCell="E8" sqref="E8"/>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12" t="s">
        <v>721</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722</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c r="BD1" s="85"/>
      <c r="BE1" s="85"/>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A2" s="192"/>
      <c r="AB2" s="990" t="s">
        <v>530</v>
      </c>
      <c r="AC2" s="991"/>
      <c r="AD2" s="991"/>
      <c r="AE2" s="991"/>
      <c r="AF2" s="991"/>
      <c r="AG2" s="991"/>
      <c r="AH2" s="991"/>
      <c r="AI2" s="991"/>
      <c r="AJ2" s="991"/>
      <c r="AK2" s="991"/>
      <c r="AL2" s="991"/>
      <c r="AM2" s="991"/>
      <c r="AN2" s="991"/>
      <c r="AO2" s="991"/>
      <c r="AP2" s="991"/>
      <c r="AQ2" s="991"/>
      <c r="AR2" s="991"/>
      <c r="AS2" s="991"/>
      <c r="AT2" s="991"/>
      <c r="AU2" s="991"/>
      <c r="AV2" s="991"/>
      <c r="AW2" s="991"/>
      <c r="AX2" s="491"/>
      <c r="AY2" s="491"/>
      <c r="AZ2" s="992" t="s">
        <v>578</v>
      </c>
      <c r="BA2" s="993"/>
      <c r="BB2" s="993"/>
      <c r="BC2" s="993"/>
      <c r="BD2" s="993"/>
    </row>
    <row r="3" spans="1:57" s="1" customFormat="1" ht="24" customHeight="1" thickBot="1">
      <c r="A3" s="85"/>
      <c r="B3" s="85"/>
      <c r="C3" s="984" t="s">
        <v>16</v>
      </c>
      <c r="D3" s="985"/>
      <c r="E3" s="985"/>
      <c r="F3" s="985"/>
      <c r="G3" s="985"/>
      <c r="H3" s="985"/>
      <c r="I3" s="985"/>
      <c r="J3" s="985"/>
      <c r="K3" s="985"/>
      <c r="L3" s="985"/>
      <c r="M3" s="985"/>
      <c r="N3" s="985"/>
      <c r="O3" s="985"/>
      <c r="P3" s="985"/>
      <c r="Q3" s="985"/>
      <c r="R3" s="985"/>
      <c r="S3" s="985"/>
      <c r="T3" s="985"/>
      <c r="U3" s="985"/>
      <c r="V3" s="985"/>
      <c r="W3" s="985"/>
      <c r="X3" s="985"/>
      <c r="Y3" s="985"/>
      <c r="Z3" s="986"/>
      <c r="AB3" s="961" t="s">
        <v>446</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c r="BD3" s="85"/>
      <c r="BE3" s="85"/>
    </row>
    <row r="4" spans="3:57" ht="60.75" customHeight="1" thickBot="1">
      <c r="C4" s="978" t="s">
        <v>790</v>
      </c>
      <c r="D4" s="979"/>
      <c r="E4" s="941" t="s">
        <v>760</v>
      </c>
      <c r="F4" s="942"/>
      <c r="G4" s="799" t="s">
        <v>761</v>
      </c>
      <c r="H4" s="1003"/>
      <c r="I4" s="1003"/>
      <c r="J4" s="1004"/>
      <c r="K4" s="987" t="s">
        <v>762</v>
      </c>
      <c r="L4" s="988"/>
      <c r="M4" s="989"/>
      <c r="N4" s="998" t="s">
        <v>763</v>
      </c>
      <c r="O4" s="999"/>
      <c r="P4" s="1000"/>
      <c r="Q4" s="967" t="s">
        <v>764</v>
      </c>
      <c r="R4" s="968"/>
      <c r="S4" s="958" t="s">
        <v>326</v>
      </c>
      <c r="T4" s="959"/>
      <c r="U4" s="959"/>
      <c r="V4" s="959"/>
      <c r="W4" s="959"/>
      <c r="X4" s="959"/>
      <c r="Y4" s="959"/>
      <c r="Z4" s="960"/>
      <c r="AB4" s="963" t="s">
        <v>543</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1:57" s="1" customFormat="1" ht="34.5" customHeight="1">
      <c r="A5" s="85"/>
      <c r="B5" s="85"/>
      <c r="C5" s="980"/>
      <c r="D5" s="981"/>
      <c r="E5" s="943" t="s">
        <v>324</v>
      </c>
      <c r="F5" s="945" t="s">
        <v>794</v>
      </c>
      <c r="G5" s="994" t="s">
        <v>765</v>
      </c>
      <c r="H5" s="949" t="s">
        <v>795</v>
      </c>
      <c r="I5" s="951" t="s">
        <v>766</v>
      </c>
      <c r="J5" s="996" t="s">
        <v>767</v>
      </c>
      <c r="K5" s="806" t="s">
        <v>768</v>
      </c>
      <c r="L5" s="947" t="s">
        <v>796</v>
      </c>
      <c r="M5" s="826" t="s">
        <v>769</v>
      </c>
      <c r="N5" s="785" t="s">
        <v>770</v>
      </c>
      <c r="O5" s="947" t="s">
        <v>797</v>
      </c>
      <c r="P5" s="1001" t="s">
        <v>771</v>
      </c>
      <c r="Q5" s="972" t="s">
        <v>325</v>
      </c>
      <c r="R5" s="945" t="s">
        <v>102</v>
      </c>
      <c r="S5" s="926" t="s">
        <v>646</v>
      </c>
      <c r="T5" s="927"/>
      <c r="U5" s="927"/>
      <c r="V5" s="927"/>
      <c r="W5" s="111"/>
      <c r="X5" s="111" t="b">
        <v>1</v>
      </c>
      <c r="Y5" s="96"/>
      <c r="Z5" s="974" t="str">
        <f>IF(AND(X5=FALSE,X6=FALSE,X7=FALSE),"",IF(AND(X5=TRUE,X6=TRUE),"Yes",IF(AND(X5=TRUE,X7=TRUE),"Yes",IF(AND(X6=TRUE,X7=TRUE),"Yes","No"))))</f>
        <v>Yes</v>
      </c>
      <c r="AB5" s="976" t="s">
        <v>57</v>
      </c>
      <c r="AC5" s="463"/>
      <c r="AD5" s="463"/>
      <c r="AE5" s="971" t="s">
        <v>62</v>
      </c>
      <c r="AF5" s="464"/>
      <c r="AG5" s="464"/>
      <c r="AH5" s="954" t="s">
        <v>225</v>
      </c>
      <c r="AI5" s="465"/>
      <c r="AJ5" s="465"/>
      <c r="AK5" s="954" t="s">
        <v>62</v>
      </c>
      <c r="AL5" s="464"/>
      <c r="AM5" s="464"/>
      <c r="AN5" s="957" t="s">
        <v>58</v>
      </c>
      <c r="AO5" s="466"/>
      <c r="AP5" s="466"/>
      <c r="AQ5" s="957" t="s">
        <v>62</v>
      </c>
      <c r="AR5" s="464"/>
      <c r="AS5" s="464"/>
      <c r="AT5" s="874" t="s">
        <v>59</v>
      </c>
      <c r="AU5" s="467"/>
      <c r="AV5" s="467"/>
      <c r="AW5" s="874" t="s">
        <v>62</v>
      </c>
      <c r="AX5" s="464"/>
      <c r="AY5" s="464"/>
      <c r="AZ5" s="875" t="s">
        <v>60</v>
      </c>
      <c r="BA5" s="468"/>
      <c r="BB5" s="469"/>
      <c r="BC5" s="953" t="s">
        <v>62</v>
      </c>
      <c r="BD5" s="872">
        <v>3</v>
      </c>
      <c r="BE5" s="873">
        <f>INDEX(Cups,BD5)</f>
        <v>0.25</v>
      </c>
    </row>
    <row r="6" spans="1:57" s="1" customFormat="1" ht="44.25" customHeight="1" thickBot="1">
      <c r="A6" s="85"/>
      <c r="B6" s="85"/>
      <c r="C6" s="982"/>
      <c r="D6" s="983"/>
      <c r="E6" s="944"/>
      <c r="F6" s="946"/>
      <c r="G6" s="995"/>
      <c r="H6" s="950"/>
      <c r="I6" s="952"/>
      <c r="J6" s="997"/>
      <c r="K6" s="807"/>
      <c r="L6" s="948"/>
      <c r="M6" s="827"/>
      <c r="N6" s="969"/>
      <c r="O6" s="948"/>
      <c r="P6" s="1002"/>
      <c r="Q6" s="973"/>
      <c r="R6" s="946"/>
      <c r="S6" s="926" t="s">
        <v>647</v>
      </c>
      <c r="T6" s="927"/>
      <c r="U6" s="927"/>
      <c r="V6" s="927"/>
      <c r="W6" s="111"/>
      <c r="X6" s="111" t="b">
        <v>1</v>
      </c>
      <c r="Y6" s="96"/>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2</v>
      </c>
      <c r="B7" s="496" t="str">
        <f>INDEX(meals,A7)</f>
        <v>Grilled Chicken Sandwich</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96"/>
      <c r="Z7" s="974"/>
      <c r="AA7" s="23"/>
      <c r="AB7" s="955" t="s">
        <v>291</v>
      </c>
      <c r="AC7" s="937"/>
      <c r="AD7" s="937"/>
      <c r="AE7" s="939"/>
      <c r="AF7" s="865">
        <v>1</v>
      </c>
      <c r="AG7" s="867">
        <f>INDEX(Cups,AF7)</f>
        <v>0</v>
      </c>
      <c r="AH7" s="933" t="s">
        <v>292</v>
      </c>
      <c r="AI7" s="935"/>
      <c r="AJ7" s="935"/>
      <c r="AK7" s="933"/>
      <c r="AL7" s="865">
        <v>1</v>
      </c>
      <c r="AM7" s="867">
        <f>INDEX(Cups,AL7)</f>
        <v>0</v>
      </c>
      <c r="AN7" s="863" t="s">
        <v>293</v>
      </c>
      <c r="AO7" s="852"/>
      <c r="AP7" s="852"/>
      <c r="AQ7" s="863"/>
      <c r="AR7" s="865">
        <v>5</v>
      </c>
      <c r="AS7" s="867">
        <f>INDEX(Cups,AR7)</f>
        <v>0.5</v>
      </c>
      <c r="AT7" s="868" t="s">
        <v>294</v>
      </c>
      <c r="AU7" s="854"/>
      <c r="AV7" s="854"/>
      <c r="AW7" s="854"/>
      <c r="AX7" s="865">
        <v>1</v>
      </c>
      <c r="AY7" s="867">
        <f>INDEX(Cups,AX7)</f>
        <v>0</v>
      </c>
      <c r="AZ7" s="870" t="s">
        <v>295</v>
      </c>
      <c r="BA7" s="859"/>
      <c r="BB7" s="859"/>
      <c r="BC7" s="86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96"/>
      <c r="Z8" s="113">
        <f>IF(X8=TRUE,"No","")</f>
      </c>
      <c r="AA8" s="23"/>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A9" s="23"/>
      <c r="AB9" s="923">
        <f>IF(OR(COUNTIF(AC10:AC19,12)&gt;0,COUNTIF(AC10:AC19,2)&gt;0,COUNTIF(AC10:AC19,4)&gt;0,COUNTIF(AC10:AC19,10)&gt;0,COUNTIF(AC10:AC19,15)&gt;0,COUNTIF(AC10:AC19,17)&gt;0,),"Remember to enter CREDITABLE amounts of leafy greens!","")</f>
      </c>
      <c r="AC9" s="924"/>
      <c r="AD9" s="924"/>
      <c r="AE9" s="925"/>
      <c r="AF9" s="352"/>
      <c r="AG9" s="352"/>
      <c r="AH9" s="930">
        <f>IF(COUNTIF(AI10:AI19,10)&gt;0,"Remember to enter the CREDITABLE amount of tomato paste!","")</f>
      </c>
      <c r="AI9" s="931"/>
      <c r="AJ9" s="931"/>
      <c r="AK9" s="932"/>
      <c r="AL9" s="352"/>
      <c r="AM9" s="352"/>
      <c r="AN9" s="735" t="str">
        <f>IF(SUM(AO10:AO19)&gt;10,"If crediting as a vegetable do not also credit as a meat/meat alternate","")</f>
        <v>If crediting as a vegetable do not also credit as a meat/meat alternate</v>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12</v>
      </c>
      <c r="AP10" s="245" t="str">
        <f aca="true" t="shared" si="10" ref="AP10:AP19">INDEX(BEANS,AO10)</f>
        <v>Beans/peas unspecified</v>
      </c>
      <c r="AQ10" s="245"/>
      <c r="AR10" s="320">
        <v>5</v>
      </c>
      <c r="AS10" s="320">
        <f aca="true" t="shared" si="11" ref="AS10:AS19">IF(AP10=0,"",INDEX(Cups,AR10))</f>
        <v>0.5</v>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96">
        <v>1</v>
      </c>
      <c r="X13" s="96">
        <f>INDEX(Cups,W13)</f>
        <v>0</v>
      </c>
      <c r="Y13" s="898"/>
      <c r="Z13" s="899"/>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96">
        <v>1</v>
      </c>
      <c r="X14" s="96">
        <f>INDEX(Cups,W14)</f>
        <v>0</v>
      </c>
      <c r="Y14" s="888"/>
      <c r="Z14" s="889"/>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96">
        <v>1</v>
      </c>
      <c r="X15" s="96">
        <f>INDEX(Cups,W15)</f>
        <v>0</v>
      </c>
      <c r="Y15" s="888"/>
      <c r="Z15" s="889"/>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96">
        <v>1</v>
      </c>
      <c r="X16" s="96">
        <f>INDEX(Cups,W16)</f>
        <v>0</v>
      </c>
      <c r="Y16" s="888"/>
      <c r="Z16" s="889"/>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96">
        <v>1</v>
      </c>
      <c r="X17" s="96">
        <f>INDEX(Cups,W17)</f>
        <v>0</v>
      </c>
      <c r="Y17" s="894"/>
      <c r="Z17" s="895"/>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0" t="s">
        <v>237</v>
      </c>
      <c r="U20" s="914"/>
      <c r="V20" s="915"/>
      <c r="W20" s="193"/>
      <c r="X20" s="193"/>
      <c r="Y20" s="919"/>
      <c r="Z20" s="920"/>
      <c r="AB20" s="879"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94"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95"/>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R5" sqref="R5:R6"/>
      <selection pane="bottomLeft" activeCell="AC10" sqref="AC10:AC19"/>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12" t="s">
        <v>736</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737</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992" t="s">
        <v>578</v>
      </c>
      <c r="BA2" s="993"/>
      <c r="BB2" s="993"/>
      <c r="BC2" s="993"/>
      <c r="BD2" s="993"/>
    </row>
    <row r="3" spans="3:55" ht="24" customHeight="1" thickBot="1">
      <c r="C3" s="984" t="s">
        <v>33</v>
      </c>
      <c r="D3" s="985"/>
      <c r="E3" s="985"/>
      <c r="F3" s="985"/>
      <c r="G3" s="985"/>
      <c r="H3" s="985"/>
      <c r="I3" s="985"/>
      <c r="J3" s="985"/>
      <c r="K3" s="985"/>
      <c r="L3" s="985"/>
      <c r="M3" s="985"/>
      <c r="N3" s="985"/>
      <c r="O3" s="985"/>
      <c r="P3" s="985"/>
      <c r="Q3" s="985"/>
      <c r="R3" s="985"/>
      <c r="S3" s="985"/>
      <c r="T3" s="985"/>
      <c r="U3" s="985"/>
      <c r="V3" s="985"/>
      <c r="W3" s="985"/>
      <c r="X3" s="985"/>
      <c r="Y3" s="985"/>
      <c r="Z3" s="986"/>
      <c r="AB3" s="961" t="s">
        <v>501</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row>
    <row r="4" spans="3:57" ht="60.75" customHeight="1" thickBot="1">
      <c r="C4" s="978" t="s">
        <v>790</v>
      </c>
      <c r="D4" s="979"/>
      <c r="E4" s="941" t="s">
        <v>760</v>
      </c>
      <c r="F4" s="942"/>
      <c r="G4" s="799" t="s">
        <v>761</v>
      </c>
      <c r="H4" s="1003"/>
      <c r="I4" s="1003"/>
      <c r="J4" s="1004"/>
      <c r="K4" s="987" t="s">
        <v>762</v>
      </c>
      <c r="L4" s="988"/>
      <c r="M4" s="989"/>
      <c r="N4" s="998" t="s">
        <v>763</v>
      </c>
      <c r="O4" s="999"/>
      <c r="P4" s="1000"/>
      <c r="Q4" s="967" t="s">
        <v>764</v>
      </c>
      <c r="R4" s="968"/>
      <c r="S4" s="958" t="s">
        <v>434</v>
      </c>
      <c r="T4" s="959"/>
      <c r="U4" s="959"/>
      <c r="V4" s="959"/>
      <c r="W4" s="959"/>
      <c r="X4" s="959"/>
      <c r="Y4" s="959"/>
      <c r="Z4" s="960"/>
      <c r="AB4" s="963" t="s">
        <v>738</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3:57" ht="34.5" customHeight="1">
      <c r="C5" s="980"/>
      <c r="D5" s="981"/>
      <c r="E5" s="943" t="s">
        <v>324</v>
      </c>
      <c r="F5" s="945" t="s">
        <v>794</v>
      </c>
      <c r="G5" s="994" t="s">
        <v>765</v>
      </c>
      <c r="H5" s="949" t="s">
        <v>795</v>
      </c>
      <c r="I5" s="951" t="s">
        <v>766</v>
      </c>
      <c r="J5" s="996" t="s">
        <v>767</v>
      </c>
      <c r="K5" s="806" t="s">
        <v>768</v>
      </c>
      <c r="L5" s="947" t="s">
        <v>796</v>
      </c>
      <c r="M5" s="826" t="s">
        <v>769</v>
      </c>
      <c r="N5" s="785" t="s">
        <v>770</v>
      </c>
      <c r="O5" s="947" t="s">
        <v>797</v>
      </c>
      <c r="P5" s="1001" t="s">
        <v>771</v>
      </c>
      <c r="Q5" s="972" t="s">
        <v>325</v>
      </c>
      <c r="R5" s="945" t="s">
        <v>102</v>
      </c>
      <c r="S5" s="926" t="s">
        <v>646</v>
      </c>
      <c r="T5" s="927"/>
      <c r="U5" s="927"/>
      <c r="V5" s="927"/>
      <c r="W5" s="111"/>
      <c r="X5" s="111" t="b">
        <v>1</v>
      </c>
      <c r="Y5" s="319"/>
      <c r="Z5" s="974" t="str">
        <f>IF(AND(X5=FALSE,X6=FALSE,X7=FALSE),"",IF(AND(X5=TRUE,X6=TRUE),"Yes",IF(AND(X5=TRUE,X7=TRUE),"Yes",IF(AND(X6=TRUE,X7=TRUE),"Yes","No"))))</f>
        <v>Yes</v>
      </c>
      <c r="AB5" s="976" t="s">
        <v>247</v>
      </c>
      <c r="AC5" s="463"/>
      <c r="AD5" s="463"/>
      <c r="AE5" s="971" t="s">
        <v>62</v>
      </c>
      <c r="AF5" s="464"/>
      <c r="AG5" s="464"/>
      <c r="AH5" s="954" t="s">
        <v>248</v>
      </c>
      <c r="AI5" s="465"/>
      <c r="AJ5" s="465"/>
      <c r="AK5" s="954" t="s">
        <v>62</v>
      </c>
      <c r="AL5" s="464"/>
      <c r="AM5" s="464"/>
      <c r="AN5" s="957" t="s">
        <v>249</v>
      </c>
      <c r="AO5" s="466"/>
      <c r="AP5" s="466"/>
      <c r="AQ5" s="957" t="s">
        <v>62</v>
      </c>
      <c r="AR5" s="464"/>
      <c r="AS5" s="464"/>
      <c r="AT5" s="874" t="s">
        <v>250</v>
      </c>
      <c r="AU5" s="467"/>
      <c r="AV5" s="467"/>
      <c r="AW5" s="874" t="s">
        <v>62</v>
      </c>
      <c r="AX5" s="464"/>
      <c r="AY5" s="464"/>
      <c r="AZ5" s="875" t="s">
        <v>251</v>
      </c>
      <c r="BA5" s="468"/>
      <c r="BB5" s="469"/>
      <c r="BC5" s="953" t="s">
        <v>62</v>
      </c>
      <c r="BD5" s="872">
        <v>1</v>
      </c>
      <c r="BE5" s="873">
        <f>INDEX(Cups,BD5)</f>
        <v>0</v>
      </c>
    </row>
    <row r="6" spans="3:57" ht="44.25" customHeight="1" thickBot="1">
      <c r="C6" s="982"/>
      <c r="D6" s="983"/>
      <c r="E6" s="944"/>
      <c r="F6" s="946"/>
      <c r="G6" s="995"/>
      <c r="H6" s="950"/>
      <c r="I6" s="952"/>
      <c r="J6" s="997"/>
      <c r="K6" s="807"/>
      <c r="L6" s="948"/>
      <c r="M6" s="827"/>
      <c r="N6" s="969"/>
      <c r="O6" s="948"/>
      <c r="P6" s="1002"/>
      <c r="Q6" s="973"/>
      <c r="R6" s="946"/>
      <c r="S6" s="926" t="s">
        <v>647</v>
      </c>
      <c r="T6" s="927"/>
      <c r="U6" s="927"/>
      <c r="V6" s="927"/>
      <c r="W6" s="111"/>
      <c r="X6" s="111" t="b">
        <v>1</v>
      </c>
      <c r="Y6" s="319"/>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3</v>
      </c>
      <c r="B7" s="496" t="str">
        <f>INDEX(meals,A7)</f>
        <v>Hatton Chicken Crunch with Brown Rice</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319"/>
      <c r="Z7" s="974"/>
      <c r="AB7" s="955" t="s">
        <v>311</v>
      </c>
      <c r="AC7" s="937"/>
      <c r="AD7" s="937"/>
      <c r="AE7" s="939"/>
      <c r="AF7" s="865">
        <v>6</v>
      </c>
      <c r="AG7" s="867">
        <f>INDEX(Cups,AF7)</f>
        <v>0.625</v>
      </c>
      <c r="AH7" s="933" t="s">
        <v>312</v>
      </c>
      <c r="AI7" s="935"/>
      <c r="AJ7" s="935"/>
      <c r="AK7" s="933"/>
      <c r="AL7" s="865">
        <v>2</v>
      </c>
      <c r="AM7" s="867">
        <f>INDEX(Cups,AL7)</f>
        <v>0.125</v>
      </c>
      <c r="AN7" s="863" t="s">
        <v>313</v>
      </c>
      <c r="AO7" s="852"/>
      <c r="AP7" s="852"/>
      <c r="AQ7" s="863"/>
      <c r="AR7" s="865">
        <v>1</v>
      </c>
      <c r="AS7" s="867">
        <f>INDEX(Cups,AR7)</f>
        <v>0</v>
      </c>
      <c r="AT7" s="868" t="s">
        <v>314</v>
      </c>
      <c r="AU7" s="854"/>
      <c r="AV7" s="854"/>
      <c r="AW7" s="854"/>
      <c r="AX7" s="865">
        <v>1</v>
      </c>
      <c r="AY7" s="867">
        <f>INDEX(Cups,AX7)</f>
        <v>0</v>
      </c>
      <c r="AZ7" s="870" t="s">
        <v>315</v>
      </c>
      <c r="BA7" s="859"/>
      <c r="BB7" s="859"/>
      <c r="BC7" s="86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319"/>
      <c r="Z8" s="351">
        <f>IF(X8=TRUE,"No","")</f>
      </c>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B9" s="923">
        <f>IF(OR(COUNTIF(AC10:AC19,12)&gt;0,COUNTIF(AC10:AC19,2)&gt;0,COUNTIF(AC10:AC19,4)&gt;0,COUNTIF(AC10:AC19,10)&gt;0,COUNTIF(AC10:AC19,15)&gt;0,COUNTIF(AC10:AC19,17)&gt;0,),"Remember to enter CREDITABLE amounts of leafy greens!","")</f>
      </c>
      <c r="AC9" s="924"/>
      <c r="AD9" s="924"/>
      <c r="AE9" s="925"/>
      <c r="AF9" s="352"/>
      <c r="AG9" s="352"/>
      <c r="AH9" s="930">
        <f>IF(COUNTIF(AI10:AI19,10)&gt;0,"Remember to enter the CREDITABLE amount of tomato paste!","")</f>
      </c>
      <c r="AI9" s="931"/>
      <c r="AJ9" s="931"/>
      <c r="AK9" s="932"/>
      <c r="AL9" s="352"/>
      <c r="AM9" s="352"/>
      <c r="AN9" s="735">
        <f>IF(SUM(AO10:AO19)&gt;10,"If crediting as a vegetable do not also credit as a meat/meat alternate","")</f>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4</v>
      </c>
      <c r="AG10" s="320">
        <f aca="true" t="shared" si="7" ref="AG10:AG19">IF(AD10=0,"",INDEX(Cups,AF10))</f>
        <v>0.375</v>
      </c>
      <c r="AH10" s="100"/>
      <c r="AI10" s="100">
        <v>3</v>
      </c>
      <c r="AJ10" s="100" t="str">
        <f aca="true" t="shared" si="8" ref="AJ10:AJ19">INDEX(RED,AI10)</f>
        <v>Carrots</v>
      </c>
      <c r="AK10" s="100"/>
      <c r="AL10" s="320">
        <v>2</v>
      </c>
      <c r="AM10" s="320">
        <f aca="true" t="shared" si="9" ref="AM10:AM19">IF(AJ10=0,"",INDEX(Cups,AL10))</f>
        <v>0.125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B11" s="98"/>
      <c r="AC11" s="99">
        <v>14</v>
      </c>
      <c r="AD11" s="99" t="str">
        <f t="shared" si="6"/>
        <v>Spinach</v>
      </c>
      <c r="AE11" s="99"/>
      <c r="AF11" s="319">
        <v>3</v>
      </c>
      <c r="AG11" s="319">
        <f t="shared" si="7"/>
        <v>0.25</v>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319">
        <v>1</v>
      </c>
      <c r="X13" s="319">
        <f>INDEX(Cups,W13)</f>
        <v>0</v>
      </c>
      <c r="Y13" s="898"/>
      <c r="Z13" s="899"/>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319">
        <v>1</v>
      </c>
      <c r="X14" s="319">
        <f>INDEX(Cups,W14)</f>
        <v>0</v>
      </c>
      <c r="Y14" s="888"/>
      <c r="Z14" s="889"/>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319">
        <v>1</v>
      </c>
      <c r="X15" s="319">
        <f>INDEX(Cups,W15)</f>
        <v>0</v>
      </c>
      <c r="Y15" s="888"/>
      <c r="Z15" s="889"/>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319">
        <v>1</v>
      </c>
      <c r="X16" s="319">
        <f>INDEX(Cups,W16)</f>
        <v>0</v>
      </c>
      <c r="Y16" s="888"/>
      <c r="Z16" s="889"/>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319">
        <v>1</v>
      </c>
      <c r="X17" s="319">
        <f>INDEX(Cups,W17)</f>
        <v>0</v>
      </c>
      <c r="Y17" s="894"/>
      <c r="Z17" s="895"/>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0" t="s">
        <v>237</v>
      </c>
      <c r="U20" s="914"/>
      <c r="V20" s="915"/>
      <c r="W20" s="193"/>
      <c r="X20" s="193"/>
      <c r="Y20" s="919"/>
      <c r="Z20" s="920"/>
      <c r="AB20" s="879">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94"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95"/>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12" t="s">
        <v>739</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740</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992" t="s">
        <v>578</v>
      </c>
      <c r="BA2" s="993"/>
      <c r="BB2" s="993"/>
      <c r="BC2" s="993"/>
      <c r="BD2" s="993"/>
    </row>
    <row r="3" spans="3:55" ht="24" customHeight="1" thickBot="1">
      <c r="C3" s="984" t="s">
        <v>34</v>
      </c>
      <c r="D3" s="985"/>
      <c r="E3" s="985"/>
      <c r="F3" s="985"/>
      <c r="G3" s="985"/>
      <c r="H3" s="985"/>
      <c r="I3" s="985"/>
      <c r="J3" s="985"/>
      <c r="K3" s="985"/>
      <c r="L3" s="985"/>
      <c r="M3" s="985"/>
      <c r="N3" s="985"/>
      <c r="O3" s="985"/>
      <c r="P3" s="985"/>
      <c r="Q3" s="985"/>
      <c r="R3" s="985"/>
      <c r="S3" s="985"/>
      <c r="T3" s="985"/>
      <c r="U3" s="985"/>
      <c r="V3" s="985"/>
      <c r="W3" s="985"/>
      <c r="X3" s="985"/>
      <c r="Y3" s="985"/>
      <c r="Z3" s="986"/>
      <c r="AB3" s="961" t="s">
        <v>502</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row>
    <row r="4" spans="3:57" ht="60.75" customHeight="1" thickBot="1">
      <c r="C4" s="978" t="s">
        <v>790</v>
      </c>
      <c r="D4" s="979"/>
      <c r="E4" s="941" t="s">
        <v>760</v>
      </c>
      <c r="F4" s="942"/>
      <c r="G4" s="799" t="s">
        <v>761</v>
      </c>
      <c r="H4" s="1003"/>
      <c r="I4" s="1003"/>
      <c r="J4" s="1004"/>
      <c r="K4" s="987" t="s">
        <v>762</v>
      </c>
      <c r="L4" s="988"/>
      <c r="M4" s="989"/>
      <c r="N4" s="998" t="s">
        <v>763</v>
      </c>
      <c r="O4" s="999"/>
      <c r="P4" s="1000"/>
      <c r="Q4" s="967" t="s">
        <v>764</v>
      </c>
      <c r="R4" s="968"/>
      <c r="S4" s="958" t="s">
        <v>435</v>
      </c>
      <c r="T4" s="959"/>
      <c r="U4" s="959"/>
      <c r="V4" s="959"/>
      <c r="W4" s="959"/>
      <c r="X4" s="959"/>
      <c r="Y4" s="959"/>
      <c r="Z4" s="960"/>
      <c r="AB4" s="963" t="s">
        <v>741</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3:57" ht="34.5" customHeight="1">
      <c r="C5" s="980"/>
      <c r="D5" s="981"/>
      <c r="E5" s="943" t="s">
        <v>324</v>
      </c>
      <c r="F5" s="945" t="s">
        <v>794</v>
      </c>
      <c r="G5" s="994" t="s">
        <v>765</v>
      </c>
      <c r="H5" s="949" t="s">
        <v>795</v>
      </c>
      <c r="I5" s="951" t="s">
        <v>766</v>
      </c>
      <c r="J5" s="996" t="s">
        <v>767</v>
      </c>
      <c r="K5" s="806" t="s">
        <v>768</v>
      </c>
      <c r="L5" s="947" t="s">
        <v>796</v>
      </c>
      <c r="M5" s="826" t="s">
        <v>769</v>
      </c>
      <c r="N5" s="785" t="s">
        <v>770</v>
      </c>
      <c r="O5" s="947" t="s">
        <v>797</v>
      </c>
      <c r="P5" s="1001" t="s">
        <v>771</v>
      </c>
      <c r="Q5" s="972" t="s">
        <v>325</v>
      </c>
      <c r="R5" s="945" t="s">
        <v>102</v>
      </c>
      <c r="S5" s="926" t="s">
        <v>646</v>
      </c>
      <c r="T5" s="927"/>
      <c r="U5" s="927"/>
      <c r="V5" s="927"/>
      <c r="W5" s="111"/>
      <c r="X5" s="111" t="b">
        <v>1</v>
      </c>
      <c r="Y5" s="319"/>
      <c r="Z5" s="974" t="str">
        <f>IF(AND(X5=FALSE,X6=FALSE,X7=FALSE),"",IF(AND(X5=TRUE,X6=TRUE),"Yes",IF(AND(X5=TRUE,X7=TRUE),"Yes",IF(AND(X6=TRUE,X7=TRUE),"Yes","No"))))</f>
        <v>Yes</v>
      </c>
      <c r="AB5" s="976" t="s">
        <v>252</v>
      </c>
      <c r="AC5" s="463"/>
      <c r="AD5" s="463"/>
      <c r="AE5" s="971" t="s">
        <v>62</v>
      </c>
      <c r="AF5" s="464"/>
      <c r="AG5" s="464"/>
      <c r="AH5" s="954" t="s">
        <v>253</v>
      </c>
      <c r="AI5" s="465"/>
      <c r="AJ5" s="465"/>
      <c r="AK5" s="954" t="s">
        <v>62</v>
      </c>
      <c r="AL5" s="464"/>
      <c r="AM5" s="464"/>
      <c r="AN5" s="957" t="s">
        <v>254</v>
      </c>
      <c r="AO5" s="466"/>
      <c r="AP5" s="466"/>
      <c r="AQ5" s="957" t="s">
        <v>62</v>
      </c>
      <c r="AR5" s="464"/>
      <c r="AS5" s="464"/>
      <c r="AT5" s="874" t="s">
        <v>255</v>
      </c>
      <c r="AU5" s="467"/>
      <c r="AV5" s="467"/>
      <c r="AW5" s="874" t="s">
        <v>62</v>
      </c>
      <c r="AX5" s="464"/>
      <c r="AY5" s="464"/>
      <c r="AZ5" s="875" t="s">
        <v>256</v>
      </c>
      <c r="BA5" s="468"/>
      <c r="BB5" s="469"/>
      <c r="BC5" s="953" t="s">
        <v>62</v>
      </c>
      <c r="BD5" s="872">
        <v>3</v>
      </c>
      <c r="BE5" s="873">
        <f>INDEX(Cups,BD5)</f>
        <v>0.25</v>
      </c>
    </row>
    <row r="6" spans="3:57" ht="44.25" customHeight="1" thickBot="1">
      <c r="C6" s="982"/>
      <c r="D6" s="983"/>
      <c r="E6" s="944"/>
      <c r="F6" s="946"/>
      <c r="G6" s="995"/>
      <c r="H6" s="950"/>
      <c r="I6" s="952"/>
      <c r="J6" s="997"/>
      <c r="K6" s="807"/>
      <c r="L6" s="948"/>
      <c r="M6" s="827"/>
      <c r="N6" s="969"/>
      <c r="O6" s="948"/>
      <c r="P6" s="1002"/>
      <c r="Q6" s="973"/>
      <c r="R6" s="946"/>
      <c r="S6" s="926" t="s">
        <v>647</v>
      </c>
      <c r="T6" s="927"/>
      <c r="U6" s="927"/>
      <c r="V6" s="927"/>
      <c r="W6" s="111"/>
      <c r="X6" s="111" t="b">
        <v>1</v>
      </c>
      <c r="Y6" s="319"/>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4</v>
      </c>
      <c r="B7" s="496" t="str">
        <f>INDEX(meals,A7)</f>
        <v>Rotini and Meat Sauce</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1.25</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319"/>
      <c r="Z7" s="974"/>
      <c r="AB7" s="955" t="s">
        <v>306</v>
      </c>
      <c r="AC7" s="937"/>
      <c r="AD7" s="937"/>
      <c r="AE7" s="939"/>
      <c r="AF7" s="865">
        <v>5</v>
      </c>
      <c r="AG7" s="867">
        <f>INDEX(Cups,AF7)</f>
        <v>0.5</v>
      </c>
      <c r="AH7" s="933" t="s">
        <v>307</v>
      </c>
      <c r="AI7" s="935"/>
      <c r="AJ7" s="935"/>
      <c r="AK7" s="933"/>
      <c r="AL7" s="865">
        <v>5</v>
      </c>
      <c r="AM7" s="867">
        <f>INDEX(Cups,AL7)</f>
        <v>0.5</v>
      </c>
      <c r="AN7" s="863" t="s">
        <v>308</v>
      </c>
      <c r="AO7" s="852"/>
      <c r="AP7" s="852"/>
      <c r="AQ7" s="863"/>
      <c r="AR7" s="865">
        <v>1</v>
      </c>
      <c r="AS7" s="867">
        <f>INDEX(Cups,AR7)</f>
        <v>0</v>
      </c>
      <c r="AT7" s="868" t="s">
        <v>309</v>
      </c>
      <c r="AU7" s="854"/>
      <c r="AV7" s="854"/>
      <c r="AW7" s="854"/>
      <c r="AX7" s="865">
        <v>1</v>
      </c>
      <c r="AY7" s="867">
        <f>INDEX(Cups,AX7)</f>
        <v>0</v>
      </c>
      <c r="AZ7" s="870" t="s">
        <v>310</v>
      </c>
      <c r="BA7" s="859"/>
      <c r="BB7" s="859"/>
      <c r="BC7" s="86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319"/>
      <c r="Z8" s="351">
        <f>IF(X8=TRUE,"No","")</f>
      </c>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B9" s="923" t="str">
        <f>IF(OR(COUNTIF(AC10:AC19,12)&gt;0,COUNTIF(AC10:AC19,2)&gt;0,COUNTIF(AC10:AC19,4)&gt;0,COUNTIF(AC10:AC19,10)&gt;0,COUNTIF(AC10:AC19,15)&gt;0,COUNTIF(AC10:AC19,17)&gt;0,),"Remember to enter CREDITABLE amounts of leafy greens!","")</f>
        <v>Remember to enter CREDITABLE amounts of leafy greens!</v>
      </c>
      <c r="AC9" s="924"/>
      <c r="AD9" s="924"/>
      <c r="AE9" s="925"/>
      <c r="AF9" s="352"/>
      <c r="AG9" s="352"/>
      <c r="AH9" s="930">
        <f>IF(COUNTIF(AI10:AI19,10)&gt;0,"Remember to enter the CREDITABLE amount of tomato paste!","")</f>
      </c>
      <c r="AI9" s="931"/>
      <c r="AJ9" s="931"/>
      <c r="AK9" s="932"/>
      <c r="AL9" s="352"/>
      <c r="AM9" s="352"/>
      <c r="AN9" s="735">
        <f>IF(SUM(AO10:AO19)&gt;10,"If crediting as a vegetable do not also credit as a meat/meat alternate","")</f>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14</v>
      </c>
      <c r="AD10" s="244" t="str">
        <f aca="true" t="shared" si="6" ref="AD10:AD19">INDEX(GREEN,AC10)</f>
        <v>Spinach</v>
      </c>
      <c r="AE10" s="244"/>
      <c r="AF10" s="320">
        <v>3</v>
      </c>
      <c r="AG10" s="320">
        <f aca="true" t="shared" si="7" ref="AG10:AG19">IF(AD10=0,"",INDEX(Cups,AF10))</f>
        <v>0.25</v>
      </c>
      <c r="AH10" s="100"/>
      <c r="AI10" s="100">
        <v>11</v>
      </c>
      <c r="AJ10" s="100" t="str">
        <f aca="true" t="shared" si="8" ref="AJ10:AJ19">INDEX(RED,AI10)</f>
        <v>Tomato sauce</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B11" s="98"/>
      <c r="AC11" s="99">
        <v>12</v>
      </c>
      <c r="AD11" s="99" t="str">
        <f t="shared" si="6"/>
        <v>Romaine</v>
      </c>
      <c r="AE11" s="99"/>
      <c r="AF11" s="319">
        <v>3</v>
      </c>
      <c r="AG11" s="319">
        <f t="shared" si="7"/>
        <v>0.25</v>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319">
        <v>1</v>
      </c>
      <c r="X13" s="319">
        <f>INDEX(Cups,W13)</f>
        <v>0</v>
      </c>
      <c r="Y13" s="898"/>
      <c r="Z13" s="899"/>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319">
        <v>1</v>
      </c>
      <c r="X14" s="319">
        <f>INDEX(Cups,W14)</f>
        <v>0</v>
      </c>
      <c r="Y14" s="888"/>
      <c r="Z14" s="889"/>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319">
        <v>1</v>
      </c>
      <c r="X15" s="319">
        <f>INDEX(Cups,W15)</f>
        <v>0</v>
      </c>
      <c r="Y15" s="888"/>
      <c r="Z15" s="889"/>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319">
        <v>1</v>
      </c>
      <c r="X16" s="319">
        <f>INDEX(Cups,W16)</f>
        <v>0</v>
      </c>
      <c r="Y16" s="888"/>
      <c r="Z16" s="889"/>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319">
        <v>1</v>
      </c>
      <c r="X17" s="319">
        <f>INDEX(Cups,W17)</f>
        <v>0</v>
      </c>
      <c r="Y17" s="894"/>
      <c r="Z17" s="895"/>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0" t="s">
        <v>237</v>
      </c>
      <c r="U20" s="914"/>
      <c r="V20" s="915"/>
      <c r="W20" s="193"/>
      <c r="X20" s="193"/>
      <c r="Y20" s="919"/>
      <c r="Z20" s="920"/>
      <c r="AB20" s="879"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94"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95"/>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Coretti, Lynn</cp:lastModifiedBy>
  <cp:lastPrinted>2012-05-31T18:43:37Z</cp:lastPrinted>
  <dcterms:created xsi:type="dcterms:W3CDTF">2012-03-21T19:15:44Z</dcterms:created>
  <dcterms:modified xsi:type="dcterms:W3CDTF">2012-08-27T16:31:06Z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